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fileSharing readOnlyRecommended="1"/>
  <workbookPr defaultThemeVersion="124226"/>
  <mc:AlternateContent xmlns:mc="http://schemas.openxmlformats.org/markup-compatibility/2006">
    <mc:Choice Requires="x15">
      <x15ac:absPath xmlns:x15ac="http://schemas.microsoft.com/office/spreadsheetml/2010/11/ac" url="D:\Maquette_EPSA\SU - Suspension\Cost\"/>
    </mc:Choice>
  </mc:AlternateContent>
  <bookViews>
    <workbookView xWindow="0" yWindow="0" windowWidth="20496" windowHeight="7548" firstSheet="1" activeTab="1"/>
  </bookViews>
  <sheets>
    <sheet name="Instructions" sheetId="7" r:id="rId1"/>
    <sheet name="BOM" sheetId="8" r:id="rId2"/>
    <sheet name="SU A0100" sheetId="20" r:id="rId3"/>
    <sheet name="SU 01001" sheetId="21" r:id="rId4"/>
    <sheet name="dSU 01001" sheetId="27" r:id="rId5"/>
    <sheet name="SU 01002" sheetId="22" r:id="rId6"/>
    <sheet name="dSU 01002" sheetId="28" r:id="rId7"/>
    <sheet name="SU 01003" sheetId="23" r:id="rId8"/>
    <sheet name="SU 01004" sheetId="24" r:id="rId9"/>
    <sheet name="SU 01005" sheetId="25" r:id="rId10"/>
    <sheet name="dSU 01005" sheetId="29" r:id="rId11"/>
    <sheet name="SU 01006" sheetId="42" r:id="rId12"/>
    <sheet name="dSU 01006" sheetId="43" r:id="rId13"/>
    <sheet name="SU 01007" sheetId="26" r:id="rId14"/>
    <sheet name="dSU 01007" sheetId="30" r:id="rId15"/>
    <sheet name="SU 01008" sheetId="72" r:id="rId16"/>
    <sheet name="dSU 01008" sheetId="73" r:id="rId17"/>
    <sheet name="SU 01009" sheetId="74" r:id="rId18"/>
    <sheet name="dSU 01009" sheetId="75" r:id="rId19"/>
    <sheet name="SU 01010" sheetId="76" r:id="rId20"/>
    <sheet name="dSU 01010" sheetId="77" r:id="rId21"/>
    <sheet name="SU 01011" sheetId="78" r:id="rId22"/>
    <sheet name="dSU 01011" sheetId="79" r:id="rId23"/>
    <sheet name="SU A0200" sheetId="31" r:id="rId24"/>
    <sheet name="SU 02001" sheetId="32" r:id="rId25"/>
    <sheet name="dSU 02001" sheetId="38" r:id="rId26"/>
    <sheet name="SU 02002" sheetId="33" r:id="rId27"/>
    <sheet name="dSU 02002" sheetId="39" r:id="rId28"/>
    <sheet name="SU 02003" sheetId="34" r:id="rId29"/>
    <sheet name="SU 02004" sheetId="35" r:id="rId30"/>
    <sheet name="SU 02005" sheetId="36" r:id="rId31"/>
    <sheet name="dSU 02005" sheetId="40" r:id="rId32"/>
    <sheet name="SU 02006" sheetId="44" r:id="rId33"/>
    <sheet name="dSU 02006" sheetId="45" r:id="rId34"/>
    <sheet name="SU 02007" sheetId="37" r:id="rId35"/>
    <sheet name="dSU 02007" sheetId="41" r:id="rId36"/>
    <sheet name="SU 02008" sheetId="83" r:id="rId37"/>
    <sheet name="dSU 02008" sheetId="84" r:id="rId38"/>
    <sheet name="SU 02009" sheetId="85" r:id="rId39"/>
    <sheet name="dSU 02009" sheetId="86" r:id="rId40"/>
    <sheet name="SU 02010" sheetId="87" r:id="rId41"/>
    <sheet name="dSU 02010" sheetId="88" r:id="rId42"/>
    <sheet name="SU 02011" sheetId="89" r:id="rId43"/>
    <sheet name="dSU 02011" sheetId="90" r:id="rId44"/>
    <sheet name="SU A0300" sheetId="46" r:id="rId45"/>
    <sheet name="SU 03001" sheetId="47" r:id="rId46"/>
    <sheet name="dSU 03001" sheetId="53" r:id="rId47"/>
    <sheet name="SU 03002" sheetId="48" r:id="rId48"/>
    <sheet name="dSU 03002" sheetId="54" r:id="rId49"/>
    <sheet name="SU 03003" sheetId="49" r:id="rId50"/>
    <sheet name="SU 03004" sheetId="50" r:id="rId51"/>
    <sheet name="SU 03005" sheetId="51" r:id="rId52"/>
    <sheet name="dSU 03005" sheetId="55" r:id="rId53"/>
    <sheet name="SU 03006" sheetId="57" r:id="rId54"/>
    <sheet name="dSU 03006" sheetId="58" r:id="rId55"/>
    <sheet name="SU 03007" sheetId="52" r:id="rId56"/>
    <sheet name="dSU 03007" sheetId="56" r:id="rId57"/>
    <sheet name="SU 03008" sheetId="91" r:id="rId58"/>
    <sheet name="dSU 03008" sheetId="92" r:id="rId59"/>
    <sheet name="SU 03009" sheetId="93" r:id="rId60"/>
    <sheet name="dSU 03009" sheetId="94" r:id="rId61"/>
    <sheet name="SU 03010" sheetId="95" r:id="rId62"/>
    <sheet name="dSU 03010" sheetId="96" r:id="rId63"/>
    <sheet name="SU 03011" sheetId="97" r:id="rId64"/>
    <sheet name="dSU 03011" sheetId="98" r:id="rId65"/>
    <sheet name="SU A0400" sheetId="59" r:id="rId66"/>
    <sheet name="SU 04001" sheetId="60" r:id="rId67"/>
    <sheet name="dSU 04001" sheetId="66" r:id="rId68"/>
    <sheet name="SU 04002" sheetId="61" r:id="rId69"/>
    <sheet name="dSU 04002" sheetId="67" r:id="rId70"/>
    <sheet name="SU 04003" sheetId="62" r:id="rId71"/>
    <sheet name="SU 04004" sheetId="63" r:id="rId72"/>
    <sheet name="SU 04005" sheetId="64" r:id="rId73"/>
    <sheet name="dSU 04005" sheetId="68" r:id="rId74"/>
    <sheet name="SU 04006" sheetId="70" r:id="rId75"/>
    <sheet name="dSU 04006" sheetId="71" r:id="rId76"/>
    <sheet name="SU 04007" sheetId="65" r:id="rId77"/>
    <sheet name="dSU 04007" sheetId="69" r:id="rId78"/>
    <sheet name="SU 04008" sheetId="99" r:id="rId79"/>
    <sheet name="dSU 04008" sheetId="100" r:id="rId80"/>
    <sheet name="SU 04009" sheetId="101" r:id="rId81"/>
    <sheet name="dSU 04009" sheetId="102" r:id="rId82"/>
    <sheet name="SU 04010" sheetId="103" r:id="rId83"/>
    <sheet name="dSU 04010" sheetId="104" r:id="rId84"/>
    <sheet name="SU 04011" sheetId="105" r:id="rId85"/>
    <sheet name="dSU 04011" sheetId="106" r:id="rId86"/>
    <sheet name="SU A0500" sheetId="107" r:id="rId87"/>
    <sheet name="SU 05001" sheetId="108" r:id="rId88"/>
    <sheet name="dSU 05001" sheetId="109" r:id="rId89"/>
    <sheet name="SU A0600" sheetId="111" r:id="rId90"/>
    <sheet name="SU 06001" sheetId="112" r:id="rId91"/>
    <sheet name="SU 06002" sheetId="113" r:id="rId92"/>
    <sheet name="SU 06003" sheetId="114" r:id="rId93"/>
    <sheet name="dSU 06003" sheetId="115" r:id="rId94"/>
    <sheet name="SU 06004" sheetId="116" r:id="rId95"/>
    <sheet name="SU A0700" sheetId="118" r:id="rId96"/>
    <sheet name="SU 07001" sheetId="119" r:id="rId97"/>
    <sheet name="dSU 07001" sheetId="120" r:id="rId98"/>
    <sheet name="SU A0800" sheetId="122" r:id="rId99"/>
    <sheet name="SU 08001" sheetId="123" r:id="rId100"/>
    <sheet name="SU 08002" sheetId="124" r:id="rId101"/>
    <sheet name="dSU 08002" sheetId="125" r:id="rId102"/>
    <sheet name="SU 08003" sheetId="126" r:id="rId103"/>
    <sheet name="SU A0900" sheetId="127" r:id="rId104"/>
    <sheet name="SU 09001" sheetId="128" r:id="rId105"/>
    <sheet name="SU 09002" sheetId="129" r:id="rId106"/>
    <sheet name="dSU 09002" sheetId="131" r:id="rId107"/>
    <sheet name="SU 09003" sheetId="130" r:id="rId108"/>
    <sheet name="dSU 09003" sheetId="134" r:id="rId109"/>
    <sheet name="SU 09004" sheetId="133" r:id="rId110"/>
    <sheet name="dSU 09004" sheetId="132" r:id="rId111"/>
    <sheet name="SU A1000" sheetId="135" r:id="rId112"/>
    <sheet name="SU 10001" sheetId="136" r:id="rId113"/>
    <sheet name="dSU 10001" sheetId="137" r:id="rId114"/>
    <sheet name="SU 10002" sheetId="138" r:id="rId115"/>
    <sheet name="dSU 10002" sheetId="139" r:id="rId116"/>
    <sheet name="SU 10003" sheetId="140" r:id="rId117"/>
    <sheet name="dSU 10003" sheetId="141" r:id="rId118"/>
    <sheet name="SU 10004" sheetId="142" r:id="rId119"/>
    <sheet name="dSU 10004" sheetId="143" r:id="rId120"/>
    <sheet name="SU 10005" sheetId="144" r:id="rId121"/>
    <sheet name="dSU 10005" sheetId="145" r:id="rId122"/>
  </sheets>
  <externalReferences>
    <externalReference r:id="rId123"/>
  </externalReferences>
  <definedNames>
    <definedName name="dSU_01001">'dSU 01001'!$A$1</definedName>
    <definedName name="dSU_01002">'dSU 01002'!$A$1</definedName>
    <definedName name="dSU_01005">'dSU 01005'!$A$1</definedName>
    <definedName name="dSU_01006">'dSU 01006'!$A$1</definedName>
    <definedName name="dSU_01007">'dSU 01007'!$A$1</definedName>
    <definedName name="dSU_01008">'dSU 01008'!$A$1</definedName>
    <definedName name="dSU_01009">'dSU 01009'!$A$1</definedName>
    <definedName name="dSU_01010">'dSU 01010'!$A$1</definedName>
    <definedName name="dSU_01011">'dSU 01011'!$A$1</definedName>
    <definedName name="dSU_02001">'dSU 02001'!$A$1</definedName>
    <definedName name="dSU_02002">'dSU 02002'!$A$1</definedName>
    <definedName name="dSU_02005">'dSU 02005'!$A$1</definedName>
    <definedName name="dSU_02006">'dSU 02006'!$A$1</definedName>
    <definedName name="dSU_02007">'dSU 02007'!$A$1</definedName>
    <definedName name="dSU_02008">'dSU 02008'!$A$1</definedName>
    <definedName name="dSU_02009">'dSU 02009'!$A$1</definedName>
    <definedName name="dSU_02010">'dSU 02010'!$A$1</definedName>
    <definedName name="dSU_03001">'dSU 03001'!$A$1</definedName>
    <definedName name="dSU_03002">'dSU 03002'!$A$1</definedName>
    <definedName name="dSU_03005">'dSU 03005'!$A$1</definedName>
    <definedName name="dSU_03006">'dSU 03006'!$A$1</definedName>
    <definedName name="dSU_03007">'dSU 03007'!$A$1</definedName>
    <definedName name="dSU_03008">'dSU 03008'!$A$1</definedName>
    <definedName name="dSU_03009">'dSU 03009'!$A$1</definedName>
    <definedName name="dSU_03010">'dSU 03010'!$A$1</definedName>
    <definedName name="dSU_03011">'dSU 03011'!$A$1</definedName>
    <definedName name="dSU_04001">'dSU 04001'!$A$1</definedName>
    <definedName name="dSU_04002">'dSU 04002'!$A$1</definedName>
    <definedName name="dSU_04005">'dSU 04005'!$A$1</definedName>
    <definedName name="dSU_04006">'dSU 04006'!$A$1</definedName>
    <definedName name="dSU_04007">'dSU 04007'!$A$1</definedName>
    <definedName name="dSU_04008">'dSU 04008'!$A$1</definedName>
    <definedName name="dSU_04009">'dSU 04009'!$A$1</definedName>
    <definedName name="dSU_04010">'dSU 04010'!$A$1</definedName>
    <definedName name="dSU_04011">'dSU 04011'!$A$1</definedName>
    <definedName name="dSU_05001">'dSU 05001'!$A$1</definedName>
    <definedName name="dSU_06003">'dSU 06003'!$A$1</definedName>
    <definedName name="dSU_07001">'dSU 07001'!$A$1</definedName>
    <definedName name="dSU_08002">'dSU 08002'!$A$1</definedName>
    <definedName name="dSU_09002">'dSU 09002'!$A$1</definedName>
    <definedName name="dSU_09003">'dSU 09003'!$A$1</definedName>
    <definedName name="dSU_09004">'dSU 09004'!$A$1</definedName>
    <definedName name="dSU_10001">'dSU 10001'!$A$1</definedName>
    <definedName name="dSU_10002">'dSU 10002'!$A$1</definedName>
    <definedName name="dSU_10003">'dSU 10003'!$A$1</definedName>
    <definedName name="dSU_10004">'dSU 10004'!$A$1</definedName>
    <definedName name="dSU_10005">'dSU 10005'!$A$1</definedName>
    <definedName name="dSU_510_001">#REF!</definedName>
    <definedName name="SU_01001">'SU 01001'!$B$6</definedName>
    <definedName name="SU_01001_m">'SU 01001'!$N$12</definedName>
    <definedName name="SU_01001_p">'SU 01001'!$I$26</definedName>
    <definedName name="SU_01001_q">'SU 01001'!$N$3</definedName>
    <definedName name="SU_01002">'SU 01002'!$B$6</definedName>
    <definedName name="SU_01002_m">'SU 01002'!$N$12</definedName>
    <definedName name="SU_01002_p">'SU 01002'!$I$21</definedName>
    <definedName name="SU_01002_q">'SU 01002'!$N$3</definedName>
    <definedName name="SU_01003">'SU 01003'!$B$6</definedName>
    <definedName name="SU_01003_m">'SU 01003'!$N$12</definedName>
    <definedName name="SU_01003_p">'SU 01003'!$I$16</definedName>
    <definedName name="SU_01003_q">'SU 01003'!$N$3</definedName>
    <definedName name="SU_01004">'SU 01004'!$B$6</definedName>
    <definedName name="SU_01004_m">'SU 01004'!$N$12</definedName>
    <definedName name="SU_01004_p">'SU 01004'!$I$16</definedName>
    <definedName name="SU_01004_q">'SU 01004'!$N$3</definedName>
    <definedName name="SU_01005">'SU 01005'!$B$6</definedName>
    <definedName name="SU_01005_m">'SU 01005'!$N$12</definedName>
    <definedName name="SU_01005_p">'SU 01005'!$I$18</definedName>
    <definedName name="SU_01005_q">'SU 01005'!$N$3</definedName>
    <definedName name="SU_01006">'SU 01006'!$B$6</definedName>
    <definedName name="SU_01006_m">'SU 01006'!$N$12</definedName>
    <definedName name="SU_01006_p">'SU 01006'!$I$18</definedName>
    <definedName name="SU_01006_q">'SU 01006'!$N$3</definedName>
    <definedName name="SU_01007">'SU 01007'!$B$6</definedName>
    <definedName name="SU_01007_m">'SU 01007'!$N$12</definedName>
    <definedName name="SU_01007_p">'SU 01007'!$I$16</definedName>
    <definedName name="SU_01007_q">'SU 01007'!$N$3</definedName>
    <definedName name="SU_01008">'SU 01008'!$B$6</definedName>
    <definedName name="SU_01008_m">'SU 01008'!$N$13</definedName>
    <definedName name="SU_01008_p">'SU 01008'!$I$21</definedName>
    <definedName name="SU_01008_q">'SU 01008'!$N$3</definedName>
    <definedName name="SU_01009">'SU 01009'!$B$6</definedName>
    <definedName name="SU_01009_m">'SU 01009'!$N$13</definedName>
    <definedName name="SU_01009_p">'SU 01009'!$I$21</definedName>
    <definedName name="SU_01009_q">'SU 01009'!$N$3</definedName>
    <definedName name="SU_01010">'SU 01010'!$B$6</definedName>
    <definedName name="SU_01010_m">'SU 01010'!$N$13</definedName>
    <definedName name="SU_01010_p">'SU 01010'!$I$21</definedName>
    <definedName name="SU_01010_q">'SU 01010'!$N$3</definedName>
    <definedName name="SU_01011">'SU 01011'!$B$6</definedName>
    <definedName name="SU_01011_m">'SU 01011'!$N$13</definedName>
    <definedName name="SU_01011_p">'SU 01011'!$I$21</definedName>
    <definedName name="SU_01011_q">'SU 01011'!$N$3</definedName>
    <definedName name="SU_02001">'SU 02001'!$B$6</definedName>
    <definedName name="SU_02001_m">'SU 02001'!$N$12</definedName>
    <definedName name="SU_02001_p">'SU 02001'!$I$23</definedName>
    <definedName name="SU_02001_q">'SU 02001'!$N$3</definedName>
    <definedName name="SU_02002">'SU 02002'!$B$6</definedName>
    <definedName name="SU_02002_m">'SU 02002'!$N$12</definedName>
    <definedName name="SU_02002_p">'SU 02002'!$I$21</definedName>
    <definedName name="SU_02002_q">'SU 02002'!$N$3</definedName>
    <definedName name="SU_02003">'SU 02003'!$B$6</definedName>
    <definedName name="SU_02003_m">'SU 02003'!$N$12</definedName>
    <definedName name="SU_02003_p">'SU 02003'!$I$16</definedName>
    <definedName name="SU_02003_q">'SU 02003'!$N$3</definedName>
    <definedName name="SU_02004">'SU 02004'!$B$6</definedName>
    <definedName name="SU_02004_m">'SU 02004'!$N$12</definedName>
    <definedName name="SU_02004_p">'SU 02004'!$I$16</definedName>
    <definedName name="SU_02004_q">'SU 02004'!$N$3</definedName>
    <definedName name="SU_02005">'SU 02005'!$B$6</definedName>
    <definedName name="SU_02005_m">'SU 02005'!$N$12</definedName>
    <definedName name="SU_02005_p">'SU 02005'!$I$18</definedName>
    <definedName name="SU_02005_q">'SU 02005'!$N$3</definedName>
    <definedName name="SU_02006">'SU 02006'!$B$6</definedName>
    <definedName name="SU_02006_m">'SU 02006'!$N$12</definedName>
    <definedName name="SU_02006_p">'SU 02006'!$I$18</definedName>
    <definedName name="SU_02006_q">'SU 02006'!$N$3</definedName>
    <definedName name="SU_02007">'SU 02007'!$B$6</definedName>
    <definedName name="SU_02007_m">'SU 02007'!$N$12</definedName>
    <definedName name="SU_02007_p">'SU 02007'!$I$16</definedName>
    <definedName name="SU_02007_q">'SU 02007'!$N$3</definedName>
    <definedName name="SU_02008">'SU 02008'!$B$6</definedName>
    <definedName name="SU_02008_m">'SU 02008'!$N$13</definedName>
    <definedName name="SU_02008_p">'SU 02008'!$I$21</definedName>
    <definedName name="SU_02008_q">'SU 02008'!$N$3</definedName>
    <definedName name="SU_02009">'SU 02009'!$B$6</definedName>
    <definedName name="SU_02009_m">'SU 02009'!$N$13</definedName>
    <definedName name="SU_02009_p">'SU 02009'!$I$21</definedName>
    <definedName name="SU_02009_q">'SU 02009'!$N$3</definedName>
    <definedName name="SU_02010">'SU 02010'!$B$6</definedName>
    <definedName name="SU_02010_m">'SU 02010'!$N$13</definedName>
    <definedName name="SU_02010_p">'SU 02010'!$I$21</definedName>
    <definedName name="SU_02010_q">'SU 02010'!$N$3</definedName>
    <definedName name="SU_02011">'SU 02011'!$B$6</definedName>
    <definedName name="SU_02011_m">'SU 02011'!$N$13</definedName>
    <definedName name="SU_02011_p">'SU 02011'!$I$21</definedName>
    <definedName name="SU_02011_q">'SU 02011'!$N$3</definedName>
    <definedName name="SU_03001">'SU 03001'!$B$6</definedName>
    <definedName name="SU_03001_m">'SU 03001'!$N$12</definedName>
    <definedName name="SU_03001_p">'SU 03001'!$I$26</definedName>
    <definedName name="SU_03001_q">'SU 03001'!$N$3</definedName>
    <definedName name="SU_03002">'SU 03002'!$B$6</definedName>
    <definedName name="SU_03002_m">'SU 03002'!$N$12</definedName>
    <definedName name="SU_03002_p">'SU 03002'!$I$21</definedName>
    <definedName name="SU_03002_q">'SU 03002'!$N$3</definedName>
    <definedName name="SU_03003">'SU 03003'!$B$6</definedName>
    <definedName name="SU_03003_m">'SU 03003'!$N$12</definedName>
    <definedName name="SU_03003_p">'SU 03003'!$I$16</definedName>
    <definedName name="SU_03003_q">'SU 03003'!$N$3</definedName>
    <definedName name="SU_03004">'SU 03004'!$B$6</definedName>
    <definedName name="SU_03004_m">'SU 03004'!$N$12</definedName>
    <definedName name="SU_03004_p">'SU 03004'!$I$16</definedName>
    <definedName name="SU_03004_q">'SU 03004'!$N$3</definedName>
    <definedName name="SU_03005">'SU 03005'!$B$6</definedName>
    <definedName name="SU_03005_m">'SU 03005'!$N$12</definedName>
    <definedName name="SU_03005_p">'SU 03005'!$I$21</definedName>
    <definedName name="SU_03005_q">'SU 03005'!$N$3</definedName>
    <definedName name="SU_03006">'SU 03006'!$B$6</definedName>
    <definedName name="SU_03006_m">'SU 03006'!$N$12</definedName>
    <definedName name="SU_03006_p">'SU 03006'!$I$18</definedName>
    <definedName name="SU_03006_q">'SU 03006'!$N$3</definedName>
    <definedName name="SU_03007">'SU 03007'!$B$6</definedName>
    <definedName name="SU_03007_m">'SU 03007'!$N$12</definedName>
    <definedName name="SU_03007_p">'SU 03007'!$I$16</definedName>
    <definedName name="SU_03007_q">'SU 03007'!$N$3</definedName>
    <definedName name="SU_03008">'SU 03008'!$B$6</definedName>
    <definedName name="SU_03008_m">'SU 03008'!$N$13</definedName>
    <definedName name="SU_03008_p">'SU 03008'!$I$21</definedName>
    <definedName name="SU_03008_q">'SU 03008'!$N$3</definedName>
    <definedName name="SU_03009">'SU 03009'!$B$6</definedName>
    <definedName name="SU_03009_m">'SU 03009'!$N$13</definedName>
    <definedName name="SU_03009_p">'SU 03009'!$I$21</definedName>
    <definedName name="SU_03009_q">'SU 03009'!$N$3</definedName>
    <definedName name="SU_03010">'SU 03010'!$B$6</definedName>
    <definedName name="SU_03010_m">'SU 03010'!$N$13</definedName>
    <definedName name="SU_03010_p">'SU 03010'!$I$21</definedName>
    <definedName name="SU_03010_q">'SU 03010'!$N$3</definedName>
    <definedName name="SU_03011">'SU 03011'!$B$6</definedName>
    <definedName name="SU_03011_m">'SU 03011'!$N$13</definedName>
    <definedName name="SU_03011_p">'SU 03011'!$I$21</definedName>
    <definedName name="SU_03011_q">'SU 03011'!$N$3</definedName>
    <definedName name="SU_04001">'SU 04001'!$B$6</definedName>
    <definedName name="SU_04001_m">'SU 04001'!$N$12</definedName>
    <definedName name="SU_04001_p">'SU 04001'!$I$23</definedName>
    <definedName name="SU_04001_q">'SU 04001'!$N$3</definedName>
    <definedName name="SU_04002">'SU 04002'!$B$6</definedName>
    <definedName name="SU_04002_m">'SU 04002'!$N$12</definedName>
    <definedName name="SU_04002_p">'SU 04002'!$I$21</definedName>
    <definedName name="SU_04002_q">'SU 04002'!$N$3</definedName>
    <definedName name="SU_04003">'SU 04003'!$B$6</definedName>
    <definedName name="SU_04003_m">'SU 04003'!$N$12</definedName>
    <definedName name="SU_04003_p">'SU 04003'!$I$16</definedName>
    <definedName name="SU_04003_q">'SU 04003'!$N$3</definedName>
    <definedName name="SU_04004">'SU 04004'!$B$6</definedName>
    <definedName name="SU_04004_m">'SU 04004'!$N$12</definedName>
    <definedName name="SU_04004_p">'SU 04004'!$I$16</definedName>
    <definedName name="SU_04004_q">'SU 04004'!$N$3</definedName>
    <definedName name="SU_04005">'SU 04005'!$B$6</definedName>
    <definedName name="SU_04005_m">'SU 04005'!$N$12</definedName>
    <definedName name="SU_04005_p">'SU 04005'!$I$21</definedName>
    <definedName name="SU_04005_q">'SU 04005'!$N$3</definedName>
    <definedName name="SU_04006">'SU 04006'!$B$6</definedName>
    <definedName name="SU_04006_m">'SU 04006'!$N$12</definedName>
    <definedName name="SU_04006_p">'SU 04006'!$I$18</definedName>
    <definedName name="SU_04006_q">'SU 04006'!$N$3</definedName>
    <definedName name="SU_04007">'SU 04007'!$B$6</definedName>
    <definedName name="SU_04007_m">'SU 04007'!$N$12</definedName>
    <definedName name="SU_04007_p">'SU 04007'!$I$16</definedName>
    <definedName name="SU_04007_q">'SU 04007'!$N$3</definedName>
    <definedName name="SU_04008">'SU 04008'!$B$6</definedName>
    <definedName name="SU_04008_m">'SU 04008'!$N$13</definedName>
    <definedName name="SU_04008_p">'SU 04008'!$I$21</definedName>
    <definedName name="SU_04008_q">'SU 04008'!$N$3</definedName>
    <definedName name="SU_04009">'SU 04009'!$B$6</definedName>
    <definedName name="SU_04009_m">'SU 04009'!$N$13</definedName>
    <definedName name="SU_04009_p">'SU 04009'!$I$21</definedName>
    <definedName name="SU_04009_q">'SU 04009'!$N$3</definedName>
    <definedName name="SU_04010">'SU 04010'!$B$6</definedName>
    <definedName name="SU_04010_m">'SU 04010'!$N$13</definedName>
    <definedName name="SU_04010_p">'SU 04010'!$I$21</definedName>
    <definedName name="SU_04010_q">'SU 04010'!$N$3</definedName>
    <definedName name="SU_04011">'SU 04011'!$B$6</definedName>
    <definedName name="SU_04011_m">'SU 04011'!$N$13</definedName>
    <definedName name="SU_04011_p">'SU 04011'!$I$21</definedName>
    <definedName name="SU_04011_q">'SU 04011'!$N$3</definedName>
    <definedName name="SU_05001">'SU 05001'!$B$6</definedName>
    <definedName name="SU_05001_f">'SU 05001'!#REF!</definedName>
    <definedName name="SU_05001_m">'SU 05001'!$N$12</definedName>
    <definedName name="SU_05001_p">'SU 05001'!$I$22</definedName>
    <definedName name="SU_05001_q">'SU 05001'!$N$3</definedName>
    <definedName name="SU_05001_t">'SU 05001'!#REF!</definedName>
    <definedName name="SU_06001">'SU 06001'!$B$6</definedName>
    <definedName name="SU_06001_m">'SU 06001'!$N$12</definedName>
    <definedName name="SU_06001_p">'SU 06001'!$I$17</definedName>
    <definedName name="SU_06001_q">'SU 06001'!$N$3</definedName>
    <definedName name="SU_06002">'SU 06002'!$B$6</definedName>
    <definedName name="SU_06002_m">'SU 06002'!$N$12</definedName>
    <definedName name="SU_06002_p">'SU 06002'!$I$17</definedName>
    <definedName name="SU_06002_q">'SU 06002'!$N$3</definedName>
    <definedName name="SU_06003">'SU 06003'!$B$6</definedName>
    <definedName name="SU_06003_m">'SU 06003'!$N$12</definedName>
    <definedName name="SU_06003_p">'SU 06003'!$I$17</definedName>
    <definedName name="SU_06003_q">'SU 06003'!$N$3</definedName>
    <definedName name="SU_06004">'SU 06004'!$B$6</definedName>
    <definedName name="SU_06004_m">'SU 06004'!$N$12</definedName>
    <definedName name="SU_06004_p">'SU 06004'!$I$19</definedName>
    <definedName name="SU_06004_q">'SU 06004'!$N$3</definedName>
    <definedName name="SU_07001">'SU 07001'!$B$6</definedName>
    <definedName name="SU_07001_f">'SU 07001'!#REF!</definedName>
    <definedName name="SU_07001_m">'SU 07001'!$N$12</definedName>
    <definedName name="SU_07001_p">'SU 07001'!$I$22</definedName>
    <definedName name="SU_07001_q">'SU 07001'!$N$3</definedName>
    <definedName name="SU_07001_t">'SU 07001'!#REF!</definedName>
    <definedName name="SU_08001">'SU 08001'!$B$6</definedName>
    <definedName name="SU_08001_m">'SU 08001'!$N$12</definedName>
    <definedName name="SU_08001_p">'SU 08001'!$I$17</definedName>
    <definedName name="SU_08001_q">'SU 08001'!$N$3</definedName>
    <definedName name="SU_08002">'SU 08002'!$B$6</definedName>
    <definedName name="SU_08002_m">'SU 08002'!$N$12</definedName>
    <definedName name="SU_08002_p">'SU 08002'!$I$17</definedName>
    <definedName name="SU_08002_q">'SU 08002'!$N$3</definedName>
    <definedName name="SU_08003">'SU 08003'!$B$6</definedName>
    <definedName name="SU_08003_m">'SU 08003'!$N$12</definedName>
    <definedName name="SU_08003_p">'SU 08003'!$I$19</definedName>
    <definedName name="SU_08003_q">'SU 08003'!$N$3</definedName>
    <definedName name="SU_09001">'SU 09001'!$B$6</definedName>
    <definedName name="SU_09001_m">'SU 09001'!$N$12</definedName>
    <definedName name="SU_09001_p">'SU 09001'!$I$16</definedName>
    <definedName name="SU_09001_q">'SU 09001'!$N$3</definedName>
    <definedName name="SU_09002">'SU 09002'!$B$6</definedName>
    <definedName name="SU_09002_m">'SU 09002'!$N$12</definedName>
    <definedName name="SU_09002_p">'SU 09002'!$I$19</definedName>
    <definedName name="SU_09002_q">'SU 09002'!$N$3</definedName>
    <definedName name="SU_09003">'SU 09003'!$B$6</definedName>
    <definedName name="SU_09003_m">'SU 09003'!$N$12</definedName>
    <definedName name="SU_09003_p">'SU 09003'!$I$17</definedName>
    <definedName name="SU_09003_q">'SU 09003'!$N$3</definedName>
    <definedName name="SU_09004">'SU 09004'!$B$6</definedName>
    <definedName name="SU_09004_m">'SU 09004'!$N$12</definedName>
    <definedName name="SU_09004_p">'SU 09004'!$I$17</definedName>
    <definedName name="SU_09004_q">'SU 09004'!$N$3</definedName>
    <definedName name="SU_10001">'SU 10001'!$B$6</definedName>
    <definedName name="SU_10001_m">'SU 10001'!$N$12</definedName>
    <definedName name="SU_10001_p">'SU 10001'!$I$29</definedName>
    <definedName name="SU_10001_q">'SU 10001'!$N$3</definedName>
    <definedName name="SU_10002">'SU 10002'!$B$6</definedName>
    <definedName name="SU_10002_m">'SU 10002'!$N$12</definedName>
    <definedName name="SU_10002_p">'SU 10002'!$I$19</definedName>
    <definedName name="SU_10002_q">'SU 10002'!$N$3</definedName>
    <definedName name="SU_10003">'SU 10003'!$B$6</definedName>
    <definedName name="SU_10003_m">'SU 10003'!$N$12</definedName>
    <definedName name="SU_10003_p">'SU 10003'!$I$23</definedName>
    <definedName name="SU_10003_q">'SU 10003'!$N$3</definedName>
    <definedName name="SU_10004">'SU 10004'!$B$6</definedName>
    <definedName name="SU_10004_m">'SU 10004'!$N$12</definedName>
    <definedName name="SU_10004_p">'SU 10004'!$I$18</definedName>
    <definedName name="SU_10004_q">'SU 10004'!$N$3</definedName>
    <definedName name="SU_10005">'SU 10005'!$B$6</definedName>
    <definedName name="SU_10005_m">'SU 10005'!$N$12</definedName>
    <definedName name="SU_10005_p">'SU 10005'!$I$17</definedName>
    <definedName name="SU_10005_q">'SU 10005'!$N$3</definedName>
    <definedName name="SU_510_001">#REF!</definedName>
    <definedName name="SU_510_001_f">#REF!</definedName>
    <definedName name="SU_510_001_m">#REF!</definedName>
    <definedName name="SU_510_001_p">#REF!</definedName>
    <definedName name="SU_510_001_q">#REF!</definedName>
    <definedName name="SU_510_001_t">#REF!</definedName>
    <definedName name="SU_A0100">'SU A0100'!$B$5</definedName>
    <definedName name="SU_A0100_BOM">BOM!$C$7</definedName>
    <definedName name="SU_A0100_f">'SU A0100'!$J$59</definedName>
    <definedName name="SU_A0100_m">'SU A0100'!$N$27</definedName>
    <definedName name="SU_A0100_p">'SU A0100'!$I$52</definedName>
    <definedName name="SU_A0100_pa">'SU A0100'!$E$21</definedName>
    <definedName name="SU_A0100_q">'SU A0100'!$N$3</definedName>
    <definedName name="SU_A0100_t">'SU A0100'!$I$63</definedName>
    <definedName name="SU_A0200">'SU A0200'!$B$5</definedName>
    <definedName name="SU_A0200_BOM">BOM!$C$19</definedName>
    <definedName name="SU_A0200_f">'SU A0200'!$J$59</definedName>
    <definedName name="SU_A0200_m">'SU A0200'!$N$27</definedName>
    <definedName name="SU_A0200_p">'SU A0200'!$I$52</definedName>
    <definedName name="SU_A0200_pa">'SU A0200'!$E$21</definedName>
    <definedName name="SU_A0200_q">'SU A0200'!$N$3</definedName>
    <definedName name="SU_A0200_t">'SU A0200'!$I$63</definedName>
    <definedName name="SU_A0300">'SU A0300'!$B$5</definedName>
    <definedName name="SU_A0300_BOM">BOM!$C$31</definedName>
    <definedName name="SU_A0300_f">'SU A0300'!$J$59</definedName>
    <definedName name="SU_A0300_m">'SU A0300'!$N$27</definedName>
    <definedName name="SU_A0300_p">'SU A0300'!$I$52</definedName>
    <definedName name="SU_A0300_pa">'SU A0300'!$E$21</definedName>
    <definedName name="SU_A0300_q">'SU A0300'!$N$3</definedName>
    <definedName name="SU_A0300_t">'SU A0300'!$I$63</definedName>
    <definedName name="SU_A0400">'SU A0400'!$B$5</definedName>
    <definedName name="SU_A0400_BOM">BOM!$C$43</definedName>
    <definedName name="SU_A0400_f">'SU A0400'!$J$59</definedName>
    <definedName name="SU_A0400_m">'SU A0400'!$N$27</definedName>
    <definedName name="SU_A0400_p">'SU A0400'!$I$52</definedName>
    <definedName name="SU_A0400_pa">'SU A0400'!$E$21</definedName>
    <definedName name="SU_A0400_q">'SU A0400'!$N$3</definedName>
    <definedName name="SU_A0400_t">'SU A0400'!$I$63</definedName>
    <definedName name="SU_A0500">'SU A0500'!$B$5</definedName>
    <definedName name="SU_A0500_BOM">BOM!$C$55</definedName>
    <definedName name="SU_A0500_f">'SU A0500'!$J$37</definedName>
    <definedName name="SU_A0500_m">'SU A0500'!$N$18</definedName>
    <definedName name="SU_A0500_p">'SU A0500'!$I$31</definedName>
    <definedName name="SU_A0500_pa">'SU A0500'!$E$11</definedName>
    <definedName name="SU_A0500_q">'SU A0500'!$N$3</definedName>
    <definedName name="SU_A0500_t">'SU A0500'!$I$41</definedName>
    <definedName name="SU_A0600">'SU A0600'!$B$5</definedName>
    <definedName name="SU_A0600_BOM">BOM!$C$57</definedName>
    <definedName name="SU_A0600_f">'SU A0600'!$J$38</definedName>
    <definedName name="SU_A0600_m">'SU A0600'!$N$19</definedName>
    <definedName name="SU_A0600_p">'SU A0600'!$I$32</definedName>
    <definedName name="SU_A0600_pa">'SU A0600'!$E$14</definedName>
    <definedName name="SU_A0600_q">'SU A0600'!$N$3</definedName>
    <definedName name="SU_A0600_t">'SU A0600'!$I$42</definedName>
    <definedName name="SU_A0700">'SU A0700'!$B$5</definedName>
    <definedName name="SU_A0700_BOM">BOM!$C$62</definedName>
    <definedName name="SU_A0700_f">'SU A0700'!$J$37</definedName>
    <definedName name="SU_A0700_m">'SU A0700'!$N$18</definedName>
    <definedName name="SU_A0700_p">'SU A0700'!$I$31</definedName>
    <definedName name="SU_A0700_pa">'SU A0700'!$E$11</definedName>
    <definedName name="SU_A0700_q">'SU A0700'!$N$3</definedName>
    <definedName name="SU_A0700_t">'SU A0700'!$I$41</definedName>
    <definedName name="SU_A0800">'SU A0800'!$B$5</definedName>
    <definedName name="SU_A0800_BOM">BOM!$C$64</definedName>
    <definedName name="SU_A0800_f">'SU A0800'!$J$37</definedName>
    <definedName name="SU_A0800_m">'SU A0800'!$N$18</definedName>
    <definedName name="SU_A0800_p">'SU A0800'!$I$31</definedName>
    <definedName name="SU_A0800_pa">'SU A0800'!$E$13</definedName>
    <definedName name="SU_A0800_q">'SU A0800'!$N$3</definedName>
    <definedName name="SU_A0800_t">'SU A0800'!$I$41</definedName>
    <definedName name="SU_A0900">'SU A0900'!$B$5</definedName>
    <definedName name="SU_A0900_BOM">BOM!$C$68</definedName>
    <definedName name="SU_A0900_f">'SU A0900'!$J$46</definedName>
    <definedName name="SU_A0900_m">'SU A0900'!$N$19</definedName>
    <definedName name="SU_A0900_p">'SU A0900'!$I$38</definedName>
    <definedName name="SU_A0900_pa">'SU A0900'!$E$14</definedName>
    <definedName name="SU_A0900_q">'SU A0900'!$N$3</definedName>
    <definedName name="SU_A1000">'SU A1000'!$B$5</definedName>
    <definedName name="SU_A1000_BOM">BOM!$C$73</definedName>
    <definedName name="SU_A1000_f">'SU A1000'!$J$34</definedName>
    <definedName name="SU_A1000_p">'SU A1000'!$I$30</definedName>
    <definedName name="SU_A1000_pa">'SU A1000'!$E$15</definedName>
    <definedName name="SU_A1000_q">'SU A1000'!$L$3</definedName>
    <definedName name="_xlnm.Print_Area" localSheetId="5">'SU 01002'!$A$1:$O$37</definedName>
  </definedNames>
  <calcPr calcId="162913" concurrentCalc="0"/>
</workbook>
</file>

<file path=xl/calcChain.xml><?xml version="1.0" encoding="utf-8"?>
<calcChain xmlns="http://schemas.openxmlformats.org/spreadsheetml/2006/main">
  <c r="L2" i="135" l="1"/>
  <c r="N2" i="144"/>
  <c r="N2" i="142"/>
  <c r="N2" i="140"/>
  <c r="N2" i="138"/>
  <c r="L73" i="8"/>
  <c r="K78" i="8"/>
  <c r="K77" i="8"/>
  <c r="K76" i="8"/>
  <c r="K75" i="8"/>
  <c r="K74" i="8"/>
  <c r="K73" i="8"/>
  <c r="J78" i="8"/>
  <c r="J77" i="8"/>
  <c r="J76" i="8"/>
  <c r="J75" i="8"/>
  <c r="J74" i="8"/>
  <c r="I78" i="8"/>
  <c r="I77" i="8"/>
  <c r="I76" i="8"/>
  <c r="I75" i="8"/>
  <c r="I74" i="8"/>
  <c r="I73" i="8"/>
  <c r="E78" i="8"/>
  <c r="E75" i="8"/>
  <c r="E76" i="8"/>
  <c r="E77" i="8"/>
  <c r="F73" i="8"/>
  <c r="E74" i="8"/>
  <c r="C78" i="8"/>
  <c r="C77" i="8"/>
  <c r="C76" i="8"/>
  <c r="C75" i="8"/>
  <c r="C74" i="8"/>
  <c r="C73" i="8"/>
  <c r="F78" i="8"/>
  <c r="F77" i="8"/>
  <c r="F76" i="8"/>
  <c r="F75" i="8"/>
  <c r="F74" i="8"/>
  <c r="H78" i="8"/>
  <c r="N78" i="8"/>
  <c r="B78" i="8"/>
  <c r="H77" i="8"/>
  <c r="N77" i="8"/>
  <c r="B77" i="8"/>
  <c r="H76" i="8"/>
  <c r="N76" i="8"/>
  <c r="B76" i="8"/>
  <c r="H75" i="8"/>
  <c r="N75" i="8"/>
  <c r="B75" i="8"/>
  <c r="H74" i="8"/>
  <c r="N74" i="8"/>
  <c r="B74" i="8"/>
  <c r="H73" i="8"/>
  <c r="N73" i="8"/>
  <c r="B73" i="8"/>
  <c r="K72" i="8"/>
  <c r="J72" i="8"/>
  <c r="I72" i="8"/>
  <c r="F72" i="8"/>
  <c r="F71" i="8"/>
  <c r="F70" i="8"/>
  <c r="F69" i="8"/>
  <c r="E66" i="8"/>
  <c r="E67" i="8"/>
  <c r="E65" i="8"/>
  <c r="E70" i="8"/>
  <c r="E71" i="8"/>
  <c r="E72" i="8"/>
  <c r="E69" i="8"/>
  <c r="C72" i="8"/>
  <c r="H72" i="8"/>
  <c r="N72" i="8"/>
  <c r="B72" i="8"/>
  <c r="L68" i="8"/>
  <c r="K71" i="8"/>
  <c r="K70" i="8"/>
  <c r="K69" i="8"/>
  <c r="K68" i="8"/>
  <c r="J71" i="8"/>
  <c r="J70" i="8"/>
  <c r="J69" i="8"/>
  <c r="J68" i="8"/>
  <c r="I71" i="8"/>
  <c r="I70" i="8"/>
  <c r="I69" i="8"/>
  <c r="I68" i="8"/>
  <c r="B13" i="127"/>
  <c r="B12" i="127"/>
  <c r="B4" i="133"/>
  <c r="B4" i="130"/>
  <c r="B4" i="129"/>
  <c r="F63" i="8"/>
  <c r="F68" i="8"/>
  <c r="F62" i="8"/>
  <c r="C71" i="8"/>
  <c r="C70" i="8"/>
  <c r="C69" i="8"/>
  <c r="C68" i="8"/>
  <c r="H71" i="8"/>
  <c r="N71" i="8"/>
  <c r="B71" i="8"/>
  <c r="H70" i="8"/>
  <c r="N70" i="8"/>
  <c r="B70" i="8"/>
  <c r="H69" i="8"/>
  <c r="N69" i="8"/>
  <c r="B69" i="8"/>
  <c r="H68" i="8"/>
  <c r="N68" i="8"/>
  <c r="B68" i="8"/>
  <c r="B4" i="144"/>
  <c r="B4" i="142"/>
  <c r="B4" i="140"/>
  <c r="B4" i="138"/>
  <c r="N2" i="136"/>
  <c r="H15" i="144"/>
  <c r="I15" i="144"/>
  <c r="I16" i="144"/>
  <c r="I17" i="144"/>
  <c r="J11" i="144"/>
  <c r="E11" i="144"/>
  <c r="N11" i="144"/>
  <c r="N12" i="144"/>
  <c r="N5" i="144"/>
  <c r="B3" i="144"/>
  <c r="I15" i="142"/>
  <c r="I16" i="142"/>
  <c r="I18" i="142"/>
  <c r="I17" i="142"/>
  <c r="J11" i="142"/>
  <c r="E11" i="142"/>
  <c r="N11" i="142"/>
  <c r="N12" i="142"/>
  <c r="N5" i="142"/>
  <c r="B3" i="142"/>
  <c r="I15" i="140"/>
  <c r="I16" i="140"/>
  <c r="I17" i="140"/>
  <c r="I18" i="140"/>
  <c r="I19" i="140"/>
  <c r="I20" i="140"/>
  <c r="I23" i="140"/>
  <c r="I22" i="140"/>
  <c r="I21" i="140"/>
  <c r="J11" i="140"/>
  <c r="E11" i="140"/>
  <c r="N11" i="140"/>
  <c r="N12" i="140"/>
  <c r="N5" i="140"/>
  <c r="B3" i="140"/>
  <c r="I15" i="138"/>
  <c r="I16" i="138"/>
  <c r="I17" i="138"/>
  <c r="I18" i="138"/>
  <c r="I19" i="138"/>
  <c r="J11" i="138"/>
  <c r="E11" i="138"/>
  <c r="N11" i="138"/>
  <c r="N12" i="138"/>
  <c r="N5" i="138"/>
  <c r="B3" i="138"/>
  <c r="I15" i="136"/>
  <c r="I16" i="136"/>
  <c r="I17" i="136"/>
  <c r="I18" i="136"/>
  <c r="I19" i="136"/>
  <c r="I20" i="136"/>
  <c r="I21" i="136"/>
  <c r="I22" i="136"/>
  <c r="I23" i="136"/>
  <c r="I24" i="136"/>
  <c r="I25" i="136"/>
  <c r="I26" i="136"/>
  <c r="I29" i="136"/>
  <c r="I28" i="136"/>
  <c r="I27" i="136"/>
  <c r="J11" i="136"/>
  <c r="E11" i="136"/>
  <c r="N11" i="136"/>
  <c r="N12" i="136"/>
  <c r="N5" i="136"/>
  <c r="B4" i="136"/>
  <c r="B3" i="136"/>
  <c r="D33" i="135"/>
  <c r="J33" i="135"/>
  <c r="J34" i="135"/>
  <c r="I19" i="135"/>
  <c r="I20" i="135"/>
  <c r="I21" i="135"/>
  <c r="I22" i="135"/>
  <c r="I23" i="135"/>
  <c r="I24" i="135"/>
  <c r="I25" i="135"/>
  <c r="I26" i="135"/>
  <c r="I27" i="135"/>
  <c r="I28" i="135"/>
  <c r="I29" i="135"/>
  <c r="I30" i="135"/>
  <c r="C10" i="135"/>
  <c r="D10" i="135"/>
  <c r="E10" i="135"/>
  <c r="C11" i="135"/>
  <c r="D11" i="135"/>
  <c r="E11" i="135"/>
  <c r="C12" i="135"/>
  <c r="D12" i="135"/>
  <c r="E12" i="135"/>
  <c r="C13" i="135"/>
  <c r="D13" i="135"/>
  <c r="E13" i="135"/>
  <c r="C14" i="135"/>
  <c r="D14" i="135"/>
  <c r="E14" i="135"/>
  <c r="E15" i="135"/>
  <c r="B10" i="135"/>
  <c r="L5" i="135"/>
  <c r="J11" i="133"/>
  <c r="J11" i="130"/>
  <c r="B4" i="116"/>
  <c r="B4" i="114"/>
  <c r="B4" i="113"/>
  <c r="D13" i="111"/>
  <c r="D12" i="111"/>
  <c r="D11" i="111"/>
  <c r="D10" i="111"/>
  <c r="D10" i="118"/>
  <c r="B4" i="126"/>
  <c r="B4" i="124"/>
  <c r="N2" i="123"/>
  <c r="C10" i="122"/>
  <c r="D10" i="122"/>
  <c r="E10" i="122"/>
  <c r="N2" i="124"/>
  <c r="C11" i="122"/>
  <c r="D11" i="122"/>
  <c r="E11" i="122"/>
  <c r="N2" i="126"/>
  <c r="C12" i="122"/>
  <c r="D12" i="122"/>
  <c r="E12" i="122"/>
  <c r="E13" i="122"/>
  <c r="N2" i="122"/>
  <c r="I16" i="133"/>
  <c r="I17" i="133"/>
  <c r="N11" i="133"/>
  <c r="N12" i="133"/>
  <c r="N2" i="133"/>
  <c r="C12" i="127"/>
  <c r="H15" i="133"/>
  <c r="H15" i="130"/>
  <c r="I15" i="133"/>
  <c r="E11" i="133"/>
  <c r="N5" i="133"/>
  <c r="B3" i="133"/>
  <c r="E12" i="127"/>
  <c r="N11" i="130"/>
  <c r="N12" i="130"/>
  <c r="I15" i="130"/>
  <c r="I16" i="130"/>
  <c r="I17" i="130"/>
  <c r="N2" i="130"/>
  <c r="N5" i="128"/>
  <c r="N2" i="128"/>
  <c r="N5" i="129"/>
  <c r="N2" i="129"/>
  <c r="C11" i="127"/>
  <c r="C10" i="127"/>
  <c r="B3" i="130"/>
  <c r="N5" i="130"/>
  <c r="E11" i="130"/>
  <c r="J11" i="129"/>
  <c r="E11" i="129"/>
  <c r="N11" i="129"/>
  <c r="N12" i="129"/>
  <c r="I14" i="129"/>
  <c r="I15" i="129"/>
  <c r="I16" i="129"/>
  <c r="I17" i="129"/>
  <c r="I18" i="129"/>
  <c r="I19" i="129"/>
  <c r="B3" i="128"/>
  <c r="B4" i="128"/>
  <c r="J11" i="128"/>
  <c r="E11" i="128"/>
  <c r="N11" i="128"/>
  <c r="N12" i="128"/>
  <c r="F15" i="128"/>
  <c r="I15" i="128"/>
  <c r="I16" i="128"/>
  <c r="N2" i="127"/>
  <c r="N5" i="127"/>
  <c r="E10" i="127"/>
  <c r="E11" i="127"/>
  <c r="C13" i="127"/>
  <c r="E13" i="127"/>
  <c r="E14" i="127"/>
  <c r="D17" i="127"/>
  <c r="N17" i="127"/>
  <c r="D18" i="127"/>
  <c r="N18" i="127"/>
  <c r="N19" i="127"/>
  <c r="I22" i="127"/>
  <c r="A23" i="127"/>
  <c r="I23" i="127"/>
  <c r="A24" i="127"/>
  <c r="I24" i="127"/>
  <c r="A25" i="127"/>
  <c r="I25" i="127"/>
  <c r="A26" i="127"/>
  <c r="I26" i="127"/>
  <c r="A27" i="127"/>
  <c r="I27" i="127"/>
  <c r="A28" i="127"/>
  <c r="I28" i="127"/>
  <c r="A29" i="127"/>
  <c r="I29" i="127"/>
  <c r="A30" i="127"/>
  <c r="I30" i="127"/>
  <c r="A31" i="127"/>
  <c r="I31" i="127"/>
  <c r="A32" i="127"/>
  <c r="I32" i="127"/>
  <c r="A33" i="127"/>
  <c r="I33" i="127"/>
  <c r="A34" i="127"/>
  <c r="I34" i="127"/>
  <c r="A35" i="127"/>
  <c r="I35" i="127"/>
  <c r="A36" i="127"/>
  <c r="I36" i="127"/>
  <c r="A37" i="127"/>
  <c r="I37" i="127"/>
  <c r="I38" i="127"/>
  <c r="D41" i="127"/>
  <c r="J41" i="127"/>
  <c r="A42" i="127"/>
  <c r="D42" i="127"/>
  <c r="J42" i="127"/>
  <c r="A43" i="127"/>
  <c r="J43" i="127"/>
  <c r="A44" i="127"/>
  <c r="D44" i="127"/>
  <c r="J44" i="127"/>
  <c r="A45" i="127"/>
  <c r="D45" i="127"/>
  <c r="J45" i="127"/>
  <c r="J46" i="127"/>
  <c r="C67" i="8"/>
  <c r="C66" i="8"/>
  <c r="C65" i="8"/>
  <c r="C64" i="8"/>
  <c r="B64" i="8"/>
  <c r="B65" i="8"/>
  <c r="J67" i="8"/>
  <c r="K67" i="8"/>
  <c r="H67" i="8"/>
  <c r="I67" i="8"/>
  <c r="N67" i="8"/>
  <c r="B67" i="8"/>
  <c r="J66" i="8"/>
  <c r="K66" i="8"/>
  <c r="H66" i="8"/>
  <c r="I66" i="8"/>
  <c r="N66" i="8"/>
  <c r="B66" i="8"/>
  <c r="J65" i="8"/>
  <c r="K65" i="8"/>
  <c r="H65" i="8"/>
  <c r="I65" i="8"/>
  <c r="N65" i="8"/>
  <c r="J64" i="8"/>
  <c r="K64" i="8"/>
  <c r="L64" i="8"/>
  <c r="M64" i="8"/>
  <c r="H64" i="8"/>
  <c r="I64" i="8"/>
  <c r="N64" i="8"/>
  <c r="I15" i="126"/>
  <c r="I16" i="126"/>
  <c r="I18" i="126"/>
  <c r="I19" i="126"/>
  <c r="J11" i="126"/>
  <c r="E11" i="126"/>
  <c r="N11" i="126"/>
  <c r="N12" i="126"/>
  <c r="N5" i="126"/>
  <c r="B3" i="126"/>
  <c r="I15" i="124"/>
  <c r="I16" i="124"/>
  <c r="I17" i="124"/>
  <c r="J11" i="124"/>
  <c r="N11" i="124"/>
  <c r="N12" i="124"/>
  <c r="E11" i="124"/>
  <c r="N5" i="124"/>
  <c r="B3" i="124"/>
  <c r="I16" i="123"/>
  <c r="I17" i="123"/>
  <c r="J11" i="123"/>
  <c r="E11" i="123"/>
  <c r="N11" i="123"/>
  <c r="N12" i="123"/>
  <c r="N5" i="123"/>
  <c r="B4" i="123"/>
  <c r="B3" i="123"/>
  <c r="I40" i="122"/>
  <c r="I41" i="122"/>
  <c r="D34" i="122"/>
  <c r="J34" i="122"/>
  <c r="J35" i="122"/>
  <c r="D36" i="122"/>
  <c r="J36" i="122"/>
  <c r="J37" i="122"/>
  <c r="F21" i="122"/>
  <c r="I21" i="122"/>
  <c r="I22" i="122"/>
  <c r="I23" i="122"/>
  <c r="I31" i="122"/>
  <c r="I30" i="122"/>
  <c r="I29" i="122"/>
  <c r="I28" i="122"/>
  <c r="I27" i="122"/>
  <c r="I26" i="122"/>
  <c r="I25" i="122"/>
  <c r="I24" i="122"/>
  <c r="N16" i="122"/>
  <c r="N17" i="122"/>
  <c r="N18" i="122"/>
  <c r="N5" i="122"/>
  <c r="K49" i="8"/>
  <c r="I7" i="8"/>
  <c r="I8" i="8"/>
  <c r="I9" i="8"/>
  <c r="I10" i="8"/>
  <c r="I11" i="8"/>
  <c r="I12" i="8"/>
  <c r="I13" i="8"/>
  <c r="I14" i="8"/>
  <c r="I15" i="8"/>
  <c r="I16" i="8"/>
  <c r="I17" i="8"/>
  <c r="I18" i="8"/>
  <c r="I19" i="8"/>
  <c r="I20" i="8"/>
  <c r="I21" i="8"/>
  <c r="I22" i="8"/>
  <c r="I23" i="8"/>
  <c r="I24" i="8"/>
  <c r="I25" i="8"/>
  <c r="I26" i="8"/>
  <c r="I27" i="8"/>
  <c r="I28" i="8"/>
  <c r="I29" i="8"/>
  <c r="I30" i="8"/>
  <c r="I31" i="8"/>
  <c r="I32" i="8"/>
  <c r="I33" i="8"/>
  <c r="I34" i="8"/>
  <c r="I35" i="8"/>
  <c r="I36" i="8"/>
  <c r="I37" i="8"/>
  <c r="I38" i="8"/>
  <c r="I39" i="8"/>
  <c r="I40" i="8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K7" i="8"/>
  <c r="K8" i="8"/>
  <c r="K9" i="8"/>
  <c r="K10" i="8"/>
  <c r="K11" i="8"/>
  <c r="K12" i="8"/>
  <c r="K13" i="8"/>
  <c r="K14" i="8"/>
  <c r="K15" i="8"/>
  <c r="K16" i="8"/>
  <c r="K17" i="8"/>
  <c r="K18" i="8"/>
  <c r="K19" i="8"/>
  <c r="K20" i="8"/>
  <c r="K21" i="8"/>
  <c r="K22" i="8"/>
  <c r="K23" i="8"/>
  <c r="K24" i="8"/>
  <c r="K25" i="8"/>
  <c r="K26" i="8"/>
  <c r="K27" i="8"/>
  <c r="K28" i="8"/>
  <c r="K29" i="8"/>
  <c r="K30" i="8"/>
  <c r="K31" i="8"/>
  <c r="K32" i="8"/>
  <c r="K33" i="8"/>
  <c r="K34" i="8"/>
  <c r="K35" i="8"/>
  <c r="K36" i="8"/>
  <c r="K37" i="8"/>
  <c r="K38" i="8"/>
  <c r="K39" i="8"/>
  <c r="K40" i="8"/>
  <c r="K41" i="8"/>
  <c r="K42" i="8"/>
  <c r="K43" i="8"/>
  <c r="K44" i="8"/>
  <c r="K45" i="8"/>
  <c r="K46" i="8"/>
  <c r="K47" i="8"/>
  <c r="K48" i="8"/>
  <c r="K50" i="8"/>
  <c r="K51" i="8"/>
  <c r="K52" i="8"/>
  <c r="K53" i="8"/>
  <c r="K54" i="8"/>
  <c r="I23" i="107"/>
  <c r="I24" i="107"/>
  <c r="I25" i="107"/>
  <c r="I31" i="107"/>
  <c r="K55" i="8"/>
  <c r="K56" i="8"/>
  <c r="K57" i="8"/>
  <c r="K58" i="8"/>
  <c r="K59" i="8"/>
  <c r="K60" i="8"/>
  <c r="K61" i="8"/>
  <c r="K62" i="8"/>
  <c r="K63" i="8"/>
  <c r="K82" i="8"/>
  <c r="F56" i="8"/>
  <c r="F57" i="8"/>
  <c r="F55" i="8"/>
  <c r="C62" i="8"/>
  <c r="C63" i="8"/>
  <c r="B62" i="8"/>
  <c r="B63" i="8"/>
  <c r="J63" i="8"/>
  <c r="H63" i="8"/>
  <c r="N63" i="8"/>
  <c r="E63" i="8"/>
  <c r="N14" i="118"/>
  <c r="N15" i="118"/>
  <c r="N16" i="118"/>
  <c r="N17" i="118"/>
  <c r="N18" i="118"/>
  <c r="J62" i="8"/>
  <c r="L62" i="8"/>
  <c r="M62" i="8"/>
  <c r="H62" i="8"/>
  <c r="N62" i="8"/>
  <c r="I15" i="119"/>
  <c r="I16" i="119"/>
  <c r="I17" i="119"/>
  <c r="I18" i="119"/>
  <c r="I19" i="119"/>
  <c r="I20" i="119"/>
  <c r="I21" i="119"/>
  <c r="I22" i="119"/>
  <c r="J11" i="119"/>
  <c r="E11" i="119"/>
  <c r="N11" i="119"/>
  <c r="N12" i="119"/>
  <c r="N2" i="119"/>
  <c r="N5" i="119"/>
  <c r="B4" i="119"/>
  <c r="B3" i="119"/>
  <c r="I40" i="118"/>
  <c r="I41" i="118"/>
  <c r="D34" i="118"/>
  <c r="J34" i="118"/>
  <c r="J35" i="118"/>
  <c r="D36" i="118"/>
  <c r="J36" i="118"/>
  <c r="J37" i="118"/>
  <c r="I23" i="118"/>
  <c r="I24" i="118"/>
  <c r="I25" i="118"/>
  <c r="I31" i="118"/>
  <c r="I30" i="118"/>
  <c r="I29" i="118"/>
  <c r="I28" i="118"/>
  <c r="I27" i="118"/>
  <c r="I26" i="118"/>
  <c r="I22" i="118"/>
  <c r="F21" i="118"/>
  <c r="I21" i="118"/>
  <c r="C10" i="118"/>
  <c r="E10" i="118"/>
  <c r="E11" i="118"/>
  <c r="N2" i="118"/>
  <c r="N5" i="118"/>
  <c r="J61" i="8"/>
  <c r="H61" i="8"/>
  <c r="N61" i="8"/>
  <c r="C61" i="8"/>
  <c r="B61" i="8"/>
  <c r="J60" i="8"/>
  <c r="H60" i="8"/>
  <c r="N60" i="8"/>
  <c r="C60" i="8"/>
  <c r="B60" i="8"/>
  <c r="J59" i="8"/>
  <c r="H59" i="8"/>
  <c r="N59" i="8"/>
  <c r="C59" i="8"/>
  <c r="B59" i="8"/>
  <c r="J58" i="8"/>
  <c r="H58" i="8"/>
  <c r="N58" i="8"/>
  <c r="C58" i="8"/>
  <c r="N17" i="111"/>
  <c r="N18" i="111"/>
  <c r="N19" i="111"/>
  <c r="J57" i="8"/>
  <c r="L57" i="8"/>
  <c r="I41" i="111"/>
  <c r="I42" i="111"/>
  <c r="M57" i="8"/>
  <c r="H57" i="8"/>
  <c r="N57" i="8"/>
  <c r="C57" i="8"/>
  <c r="I15" i="116"/>
  <c r="I16" i="116"/>
  <c r="I18" i="116"/>
  <c r="I19" i="116"/>
  <c r="J11" i="116"/>
  <c r="E11" i="116"/>
  <c r="N11" i="116"/>
  <c r="N12" i="116"/>
  <c r="N2" i="116"/>
  <c r="N5" i="116"/>
  <c r="B3" i="116"/>
  <c r="I15" i="114"/>
  <c r="I16" i="114"/>
  <c r="I17" i="114"/>
  <c r="J11" i="114"/>
  <c r="N11" i="114"/>
  <c r="N12" i="114"/>
  <c r="E11" i="114"/>
  <c r="N2" i="114"/>
  <c r="N5" i="114"/>
  <c r="B3" i="114"/>
  <c r="I16" i="113"/>
  <c r="I17" i="113"/>
  <c r="J11" i="113"/>
  <c r="E11" i="113"/>
  <c r="N11" i="113"/>
  <c r="N12" i="113"/>
  <c r="N2" i="113"/>
  <c r="N5" i="113"/>
  <c r="B3" i="113"/>
  <c r="I16" i="112"/>
  <c r="I17" i="112"/>
  <c r="J11" i="112"/>
  <c r="E11" i="112"/>
  <c r="N11" i="112"/>
  <c r="N12" i="112"/>
  <c r="N2" i="112"/>
  <c r="N5" i="112"/>
  <c r="B4" i="112"/>
  <c r="B3" i="112"/>
  <c r="D35" i="111"/>
  <c r="J35" i="111"/>
  <c r="J36" i="111"/>
  <c r="D37" i="111"/>
  <c r="J37" i="111"/>
  <c r="J38" i="111"/>
  <c r="I22" i="111"/>
  <c r="I23" i="111"/>
  <c r="I24" i="111"/>
  <c r="I32" i="111"/>
  <c r="I31" i="111"/>
  <c r="I30" i="111"/>
  <c r="I29" i="111"/>
  <c r="I28" i="111"/>
  <c r="I27" i="111"/>
  <c r="I26" i="111"/>
  <c r="I25" i="111"/>
  <c r="C10" i="111"/>
  <c r="E10" i="111"/>
  <c r="C11" i="111"/>
  <c r="E11" i="111"/>
  <c r="C12" i="111"/>
  <c r="E12" i="111"/>
  <c r="C13" i="111"/>
  <c r="E13" i="111"/>
  <c r="E14" i="111"/>
  <c r="N2" i="111"/>
  <c r="N5" i="111"/>
  <c r="C56" i="8"/>
  <c r="J56" i="8"/>
  <c r="H56" i="8"/>
  <c r="N56" i="8"/>
  <c r="E56" i="8"/>
  <c r="N14" i="107"/>
  <c r="N15" i="107"/>
  <c r="N16" i="107"/>
  <c r="N17" i="107"/>
  <c r="N18" i="107"/>
  <c r="J55" i="8"/>
  <c r="J34" i="107"/>
  <c r="J35" i="107"/>
  <c r="J36" i="107"/>
  <c r="J37" i="107"/>
  <c r="L55" i="8"/>
  <c r="M55" i="8"/>
  <c r="H55" i="8"/>
  <c r="N55" i="8"/>
  <c r="I15" i="108"/>
  <c r="I16" i="108"/>
  <c r="I17" i="108"/>
  <c r="I18" i="108"/>
  <c r="I19" i="108"/>
  <c r="I20" i="108"/>
  <c r="I21" i="108"/>
  <c r="I22" i="108"/>
  <c r="J11" i="108"/>
  <c r="E11" i="108"/>
  <c r="N11" i="108"/>
  <c r="N12" i="108"/>
  <c r="N2" i="108"/>
  <c r="N5" i="108"/>
  <c r="B4" i="108"/>
  <c r="B3" i="108"/>
  <c r="I40" i="107"/>
  <c r="I41" i="107"/>
  <c r="D34" i="107"/>
  <c r="D36" i="107"/>
  <c r="I30" i="107"/>
  <c r="I29" i="107"/>
  <c r="I28" i="107"/>
  <c r="I27" i="107"/>
  <c r="I26" i="107"/>
  <c r="I22" i="107"/>
  <c r="F21" i="107"/>
  <c r="I21" i="107"/>
  <c r="C10" i="107"/>
  <c r="D10" i="107"/>
  <c r="E10" i="107"/>
  <c r="E11" i="107"/>
  <c r="N2" i="107"/>
  <c r="N5" i="107"/>
  <c r="J11" i="103"/>
  <c r="J11" i="105"/>
  <c r="I16" i="105"/>
  <c r="I17" i="105"/>
  <c r="I18" i="105"/>
  <c r="I19" i="105"/>
  <c r="F20" i="105"/>
  <c r="I20" i="105"/>
  <c r="I21" i="105"/>
  <c r="N11" i="105"/>
  <c r="E12" i="105"/>
  <c r="N12" i="105"/>
  <c r="N13" i="105"/>
  <c r="E11" i="105"/>
  <c r="N2" i="105"/>
  <c r="N5" i="105"/>
  <c r="B3" i="105"/>
  <c r="I16" i="103"/>
  <c r="I17" i="103"/>
  <c r="I18" i="103"/>
  <c r="I19" i="103"/>
  <c r="F20" i="103"/>
  <c r="I20" i="103"/>
  <c r="I21" i="103"/>
  <c r="N11" i="103"/>
  <c r="E12" i="103"/>
  <c r="N12" i="103"/>
  <c r="N13" i="103"/>
  <c r="E11" i="103"/>
  <c r="N2" i="103"/>
  <c r="N5" i="103"/>
  <c r="B3" i="103"/>
  <c r="J11" i="101"/>
  <c r="I16" i="101"/>
  <c r="I17" i="101"/>
  <c r="I18" i="101"/>
  <c r="I19" i="101"/>
  <c r="F20" i="101"/>
  <c r="I20" i="101"/>
  <c r="I21" i="101"/>
  <c r="N11" i="101"/>
  <c r="E12" i="101"/>
  <c r="N12" i="101"/>
  <c r="N13" i="101"/>
  <c r="E11" i="101"/>
  <c r="N2" i="101"/>
  <c r="N5" i="101"/>
  <c r="B3" i="101"/>
  <c r="B3" i="99"/>
  <c r="J11" i="99"/>
  <c r="J11" i="97"/>
  <c r="J11" i="95"/>
  <c r="J11" i="93"/>
  <c r="F20" i="99"/>
  <c r="F20" i="97"/>
  <c r="F20" i="95"/>
  <c r="F20" i="93"/>
  <c r="F20" i="89"/>
  <c r="F20" i="87"/>
  <c r="F20" i="85"/>
  <c r="F20" i="83"/>
  <c r="F20" i="78"/>
  <c r="F20" i="76"/>
  <c r="F20" i="74"/>
  <c r="F20" i="72"/>
  <c r="F20" i="91"/>
  <c r="J11" i="91"/>
  <c r="I16" i="99"/>
  <c r="I17" i="99"/>
  <c r="I18" i="99"/>
  <c r="I19" i="99"/>
  <c r="I20" i="99"/>
  <c r="I21" i="99"/>
  <c r="N11" i="99"/>
  <c r="E12" i="99"/>
  <c r="N12" i="99"/>
  <c r="N13" i="99"/>
  <c r="E11" i="99"/>
  <c r="N2" i="99"/>
  <c r="N5" i="99"/>
  <c r="N2" i="65"/>
  <c r="I15" i="65"/>
  <c r="I16" i="65"/>
  <c r="J11" i="65"/>
  <c r="N11" i="65"/>
  <c r="N12" i="65"/>
  <c r="N2" i="70"/>
  <c r="B3" i="70"/>
  <c r="I15" i="70"/>
  <c r="I16" i="70"/>
  <c r="I17" i="70"/>
  <c r="I18" i="70"/>
  <c r="J11" i="70"/>
  <c r="E11" i="70"/>
  <c r="N11" i="70"/>
  <c r="N12" i="70"/>
  <c r="N5" i="70"/>
  <c r="J11" i="57"/>
  <c r="E11" i="57"/>
  <c r="N11" i="57"/>
  <c r="N12" i="57"/>
  <c r="I15" i="57"/>
  <c r="I16" i="57"/>
  <c r="I17" i="57"/>
  <c r="I18" i="57"/>
  <c r="N2" i="57"/>
  <c r="B3" i="57"/>
  <c r="N5" i="57"/>
  <c r="F15" i="63"/>
  <c r="I15" i="63"/>
  <c r="N12" i="63"/>
  <c r="J11" i="63"/>
  <c r="E11" i="63"/>
  <c r="D11" i="63"/>
  <c r="N11" i="63"/>
  <c r="F15" i="62"/>
  <c r="I15" i="62"/>
  <c r="N12" i="62"/>
  <c r="J11" i="62"/>
  <c r="E11" i="62"/>
  <c r="D11" i="62"/>
  <c r="N11" i="62"/>
  <c r="I20" i="61"/>
  <c r="I19" i="61"/>
  <c r="I18" i="61"/>
  <c r="I17" i="61"/>
  <c r="I16" i="61"/>
  <c r="I15" i="61"/>
  <c r="D11" i="61"/>
  <c r="J11" i="61"/>
  <c r="E11" i="61"/>
  <c r="N11" i="61"/>
  <c r="I16" i="60"/>
  <c r="I22" i="60"/>
  <c r="I23" i="60"/>
  <c r="I21" i="60"/>
  <c r="I20" i="60"/>
  <c r="I19" i="60"/>
  <c r="I18" i="60"/>
  <c r="I17" i="60"/>
  <c r="I15" i="60"/>
  <c r="N11" i="60"/>
  <c r="N12" i="60"/>
  <c r="N2" i="60"/>
  <c r="J11" i="60"/>
  <c r="I52" i="59"/>
  <c r="I51" i="59"/>
  <c r="I50" i="59"/>
  <c r="I49" i="59"/>
  <c r="I48" i="59"/>
  <c r="I47" i="59"/>
  <c r="I46" i="59"/>
  <c r="I45" i="59"/>
  <c r="I44" i="59"/>
  <c r="I43" i="59"/>
  <c r="I42" i="59"/>
  <c r="I41" i="59"/>
  <c r="I40" i="59"/>
  <c r="I39" i="59"/>
  <c r="I38" i="59"/>
  <c r="I37" i="59"/>
  <c r="I36" i="59"/>
  <c r="I35" i="59"/>
  <c r="I34" i="59"/>
  <c r="I33" i="59"/>
  <c r="I32" i="59"/>
  <c r="I31" i="59"/>
  <c r="I30" i="59"/>
  <c r="N12" i="61"/>
  <c r="I21" i="61"/>
  <c r="N2" i="61"/>
  <c r="C11" i="59"/>
  <c r="D11" i="59"/>
  <c r="E11" i="59"/>
  <c r="I16" i="62"/>
  <c r="N2" i="62"/>
  <c r="C12" i="59"/>
  <c r="D12" i="59"/>
  <c r="E12" i="59"/>
  <c r="I16" i="63"/>
  <c r="N2" i="63"/>
  <c r="C13" i="59"/>
  <c r="D13" i="59"/>
  <c r="E13" i="59"/>
  <c r="C14" i="59"/>
  <c r="D14" i="59"/>
  <c r="E14" i="59"/>
  <c r="C15" i="59"/>
  <c r="D15" i="59"/>
  <c r="E15" i="59"/>
  <c r="C16" i="59"/>
  <c r="D16" i="59"/>
  <c r="E16" i="59"/>
  <c r="C17" i="59"/>
  <c r="D17" i="59"/>
  <c r="E17" i="59"/>
  <c r="C18" i="59"/>
  <c r="D18" i="59"/>
  <c r="E18" i="59"/>
  <c r="C19" i="59"/>
  <c r="D19" i="59"/>
  <c r="E19" i="59"/>
  <c r="C20" i="59"/>
  <c r="D20" i="59"/>
  <c r="E20" i="59"/>
  <c r="D10" i="59"/>
  <c r="C10" i="59"/>
  <c r="B20" i="59"/>
  <c r="B19" i="59"/>
  <c r="B18" i="59"/>
  <c r="B17" i="59"/>
  <c r="B16" i="59"/>
  <c r="B15" i="59"/>
  <c r="B14" i="59"/>
  <c r="B13" i="59"/>
  <c r="B12" i="59"/>
  <c r="B11" i="59"/>
  <c r="B10" i="59"/>
  <c r="E10" i="59"/>
  <c r="F62" i="59"/>
  <c r="I62" i="59"/>
  <c r="I63" i="59"/>
  <c r="M43" i="8"/>
  <c r="D55" i="59"/>
  <c r="J55" i="59"/>
  <c r="D56" i="59"/>
  <c r="J56" i="59"/>
  <c r="D57" i="59"/>
  <c r="J57" i="59"/>
  <c r="J58" i="59"/>
  <c r="J59" i="59"/>
  <c r="L43" i="8"/>
  <c r="F62" i="46"/>
  <c r="I62" i="46"/>
  <c r="I63" i="46"/>
  <c r="J54" i="8"/>
  <c r="J53" i="8"/>
  <c r="J52" i="8"/>
  <c r="J51" i="8"/>
  <c r="J50" i="8"/>
  <c r="J49" i="8"/>
  <c r="E11" i="64"/>
  <c r="N11" i="64"/>
  <c r="N12" i="64"/>
  <c r="J48" i="8"/>
  <c r="J47" i="8"/>
  <c r="J46" i="8"/>
  <c r="J45" i="8"/>
  <c r="J44" i="8"/>
  <c r="D24" i="59"/>
  <c r="N24" i="59"/>
  <c r="N25" i="59"/>
  <c r="N26" i="59"/>
  <c r="N27" i="59"/>
  <c r="J43" i="8"/>
  <c r="M31" i="8"/>
  <c r="F54" i="8"/>
  <c r="F53" i="8"/>
  <c r="F52" i="8"/>
  <c r="F51" i="8"/>
  <c r="F50" i="8"/>
  <c r="F49" i="8"/>
  <c r="F48" i="8"/>
  <c r="F47" i="8"/>
  <c r="F46" i="8"/>
  <c r="F45" i="8"/>
  <c r="F44" i="8"/>
  <c r="F43" i="8"/>
  <c r="E45" i="8"/>
  <c r="E46" i="8"/>
  <c r="E47" i="8"/>
  <c r="E48" i="8"/>
  <c r="E49" i="8"/>
  <c r="E50" i="8"/>
  <c r="E51" i="8"/>
  <c r="E52" i="8"/>
  <c r="E53" i="8"/>
  <c r="E54" i="8"/>
  <c r="E44" i="8"/>
  <c r="C54" i="8"/>
  <c r="C53" i="8"/>
  <c r="C52" i="8"/>
  <c r="C51" i="8"/>
  <c r="C50" i="8"/>
  <c r="C49" i="8"/>
  <c r="C48" i="8"/>
  <c r="C47" i="8"/>
  <c r="C46" i="8"/>
  <c r="C45" i="8"/>
  <c r="C44" i="8"/>
  <c r="C43" i="8"/>
  <c r="H54" i="8"/>
  <c r="N54" i="8"/>
  <c r="F31" i="8"/>
  <c r="H53" i="8"/>
  <c r="N53" i="8"/>
  <c r="H52" i="8"/>
  <c r="N52" i="8"/>
  <c r="H51" i="8"/>
  <c r="N51" i="8"/>
  <c r="H50" i="8"/>
  <c r="N50" i="8"/>
  <c r="H49" i="8"/>
  <c r="N49" i="8"/>
  <c r="H48" i="8"/>
  <c r="N48" i="8"/>
  <c r="H47" i="8"/>
  <c r="N47" i="8"/>
  <c r="H46" i="8"/>
  <c r="N46" i="8"/>
  <c r="H45" i="8"/>
  <c r="N45" i="8"/>
  <c r="H44" i="8"/>
  <c r="N44" i="8"/>
  <c r="H43" i="8"/>
  <c r="N43" i="8"/>
  <c r="B82" i="8"/>
  <c r="J7" i="8"/>
  <c r="J8" i="8"/>
  <c r="J9" i="8"/>
  <c r="J10" i="8"/>
  <c r="J11" i="8"/>
  <c r="J12" i="8"/>
  <c r="J13" i="8"/>
  <c r="J14" i="8"/>
  <c r="J15" i="8"/>
  <c r="J16" i="8"/>
  <c r="J17" i="8"/>
  <c r="J18" i="8"/>
  <c r="J19" i="8"/>
  <c r="J20" i="8"/>
  <c r="J21" i="8"/>
  <c r="J22" i="8"/>
  <c r="J23" i="8"/>
  <c r="J24" i="8"/>
  <c r="J25" i="8"/>
  <c r="J26" i="8"/>
  <c r="J27" i="8"/>
  <c r="J28" i="8"/>
  <c r="J29" i="8"/>
  <c r="J30" i="8"/>
  <c r="J31" i="8"/>
  <c r="J32" i="8"/>
  <c r="J33" i="8"/>
  <c r="J34" i="8"/>
  <c r="J35" i="8"/>
  <c r="J36" i="8"/>
  <c r="J37" i="8"/>
  <c r="J38" i="8"/>
  <c r="N11" i="91"/>
  <c r="E12" i="91"/>
  <c r="N12" i="91"/>
  <c r="N13" i="91"/>
  <c r="J39" i="8"/>
  <c r="N11" i="93"/>
  <c r="E12" i="93"/>
  <c r="N12" i="93"/>
  <c r="N13" i="93"/>
  <c r="J40" i="8"/>
  <c r="N11" i="95"/>
  <c r="E12" i="95"/>
  <c r="N12" i="95"/>
  <c r="N13" i="95"/>
  <c r="J41" i="8"/>
  <c r="N11" i="97"/>
  <c r="E12" i="97"/>
  <c r="N12" i="97"/>
  <c r="N13" i="97"/>
  <c r="J42" i="8"/>
  <c r="J82" i="8"/>
  <c r="I20" i="72"/>
  <c r="I21" i="72"/>
  <c r="I20" i="74"/>
  <c r="I21" i="74"/>
  <c r="I20" i="76"/>
  <c r="I21" i="76"/>
  <c r="I20" i="78"/>
  <c r="I21" i="78"/>
  <c r="I20" i="83"/>
  <c r="I21" i="83"/>
  <c r="I20" i="85"/>
  <c r="I21" i="85"/>
  <c r="I20" i="87"/>
  <c r="I21" i="87"/>
  <c r="I20" i="89"/>
  <c r="I21" i="89"/>
  <c r="I20" i="91"/>
  <c r="I17" i="91"/>
  <c r="I21" i="91"/>
  <c r="I20" i="93"/>
  <c r="I17" i="93"/>
  <c r="I21" i="93"/>
  <c r="I20" i="95"/>
  <c r="I17" i="95"/>
  <c r="I21" i="95"/>
  <c r="I20" i="97"/>
  <c r="I17" i="97"/>
  <c r="I21" i="97"/>
  <c r="L7" i="8"/>
  <c r="L19" i="8"/>
  <c r="L31" i="8"/>
  <c r="L82" i="8"/>
  <c r="M7" i="8"/>
  <c r="M19" i="8"/>
  <c r="M82" i="8"/>
  <c r="H7" i="8"/>
  <c r="N7" i="8"/>
  <c r="H8" i="8"/>
  <c r="N8" i="8"/>
  <c r="H9" i="8"/>
  <c r="N9" i="8"/>
  <c r="H10" i="8"/>
  <c r="N10" i="8"/>
  <c r="H11" i="8"/>
  <c r="N11" i="8"/>
  <c r="H12" i="8"/>
  <c r="N12" i="8"/>
  <c r="H13" i="8"/>
  <c r="N13" i="8"/>
  <c r="H14" i="8"/>
  <c r="N14" i="8"/>
  <c r="H15" i="8"/>
  <c r="N15" i="8"/>
  <c r="H16" i="8"/>
  <c r="N16" i="8"/>
  <c r="H17" i="8"/>
  <c r="N17" i="8"/>
  <c r="H18" i="8"/>
  <c r="N18" i="8"/>
  <c r="H19" i="8"/>
  <c r="N19" i="8"/>
  <c r="H20" i="8"/>
  <c r="N20" i="8"/>
  <c r="H21" i="8"/>
  <c r="N21" i="8"/>
  <c r="H22" i="8"/>
  <c r="N22" i="8"/>
  <c r="H23" i="8"/>
  <c r="N23" i="8"/>
  <c r="H24" i="8"/>
  <c r="N24" i="8"/>
  <c r="H25" i="8"/>
  <c r="N25" i="8"/>
  <c r="H26" i="8"/>
  <c r="N26" i="8"/>
  <c r="H27" i="8"/>
  <c r="N27" i="8"/>
  <c r="H28" i="8"/>
  <c r="N28" i="8"/>
  <c r="H29" i="8"/>
  <c r="N29" i="8"/>
  <c r="H30" i="8"/>
  <c r="N30" i="8"/>
  <c r="H31" i="8"/>
  <c r="N31" i="8"/>
  <c r="H32" i="8"/>
  <c r="N32" i="8"/>
  <c r="H33" i="8"/>
  <c r="N33" i="8"/>
  <c r="H34" i="8"/>
  <c r="N34" i="8"/>
  <c r="H35" i="8"/>
  <c r="N35" i="8"/>
  <c r="H36" i="8"/>
  <c r="N36" i="8"/>
  <c r="H37" i="8"/>
  <c r="N37" i="8"/>
  <c r="H38" i="8"/>
  <c r="N38" i="8"/>
  <c r="H39" i="8"/>
  <c r="N39" i="8"/>
  <c r="H40" i="8"/>
  <c r="N40" i="8"/>
  <c r="H41" i="8"/>
  <c r="N41" i="8"/>
  <c r="H42" i="8"/>
  <c r="N42" i="8"/>
  <c r="N82" i="8"/>
  <c r="I15" i="52"/>
  <c r="J11" i="52"/>
  <c r="N11" i="52"/>
  <c r="I20" i="48"/>
  <c r="I19" i="48"/>
  <c r="I18" i="48"/>
  <c r="I17" i="48"/>
  <c r="I16" i="48"/>
  <c r="I15" i="48"/>
  <c r="D11" i="48"/>
  <c r="J11" i="48"/>
  <c r="E11" i="48"/>
  <c r="N11" i="48"/>
  <c r="N11" i="47"/>
  <c r="D11" i="47"/>
  <c r="J11" i="47"/>
  <c r="I16" i="47"/>
  <c r="I22" i="47"/>
  <c r="I24" i="47"/>
  <c r="I26" i="47"/>
  <c r="I25" i="47"/>
  <c r="I23" i="47"/>
  <c r="I21" i="47"/>
  <c r="I20" i="47"/>
  <c r="I19" i="47"/>
  <c r="I18" i="47"/>
  <c r="I17" i="47"/>
  <c r="I15" i="47"/>
  <c r="I52" i="46"/>
  <c r="I51" i="46"/>
  <c r="I50" i="46"/>
  <c r="I49" i="46"/>
  <c r="I48" i="46"/>
  <c r="I47" i="46"/>
  <c r="I46" i="46"/>
  <c r="I45" i="46"/>
  <c r="I44" i="46"/>
  <c r="I43" i="46"/>
  <c r="I42" i="46"/>
  <c r="I41" i="46"/>
  <c r="I40" i="46"/>
  <c r="I39" i="46"/>
  <c r="I38" i="46"/>
  <c r="I37" i="46"/>
  <c r="I36" i="46"/>
  <c r="I35" i="46"/>
  <c r="I34" i="46"/>
  <c r="I33" i="46"/>
  <c r="I32" i="46"/>
  <c r="I31" i="46"/>
  <c r="I30" i="46"/>
  <c r="D24" i="46"/>
  <c r="N24" i="46"/>
  <c r="N25" i="46"/>
  <c r="N26" i="46"/>
  <c r="D20" i="46"/>
  <c r="D19" i="46"/>
  <c r="D18" i="46"/>
  <c r="D17" i="46"/>
  <c r="N2" i="97"/>
  <c r="C20" i="46"/>
  <c r="N2" i="95"/>
  <c r="C19" i="46"/>
  <c r="N2" i="93"/>
  <c r="C18" i="46"/>
  <c r="N2" i="91"/>
  <c r="C17" i="46"/>
  <c r="B20" i="46"/>
  <c r="B19" i="46"/>
  <c r="B18" i="46"/>
  <c r="B17" i="46"/>
  <c r="E20" i="46"/>
  <c r="E19" i="46"/>
  <c r="E18" i="46"/>
  <c r="E17" i="46"/>
  <c r="F42" i="8"/>
  <c r="F41" i="8"/>
  <c r="F40" i="8"/>
  <c r="F39" i="8"/>
  <c r="F38" i="8"/>
  <c r="C42" i="8"/>
  <c r="C41" i="8"/>
  <c r="C40" i="8"/>
  <c r="C39" i="8"/>
  <c r="E39" i="8"/>
  <c r="E40" i="8"/>
  <c r="E41" i="8"/>
  <c r="E42" i="8"/>
  <c r="I16" i="97"/>
  <c r="I18" i="97"/>
  <c r="I19" i="97"/>
  <c r="E11" i="97"/>
  <c r="N5" i="97"/>
  <c r="B3" i="97"/>
  <c r="I16" i="95"/>
  <c r="I18" i="95"/>
  <c r="I19" i="95"/>
  <c r="E11" i="95"/>
  <c r="N5" i="95"/>
  <c r="B3" i="95"/>
  <c r="I16" i="93"/>
  <c r="I18" i="93"/>
  <c r="I19" i="93"/>
  <c r="E11" i="93"/>
  <c r="N5" i="93"/>
  <c r="B3" i="93"/>
  <c r="I16" i="91"/>
  <c r="I18" i="91"/>
  <c r="I19" i="91"/>
  <c r="E11" i="91"/>
  <c r="N5" i="91"/>
  <c r="B3" i="91"/>
  <c r="F30" i="8"/>
  <c r="F29" i="8"/>
  <c r="F28" i="8"/>
  <c r="F27" i="8"/>
  <c r="J11" i="87"/>
  <c r="I17" i="83"/>
  <c r="N2" i="83"/>
  <c r="N5" i="83"/>
  <c r="I17" i="89"/>
  <c r="N2" i="89"/>
  <c r="N5" i="89"/>
  <c r="N11" i="87"/>
  <c r="E12" i="87"/>
  <c r="N12" i="87"/>
  <c r="N13" i="87"/>
  <c r="I17" i="87"/>
  <c r="N2" i="87"/>
  <c r="N5" i="87"/>
  <c r="I17" i="85"/>
  <c r="N2" i="85"/>
  <c r="N5" i="85"/>
  <c r="J11" i="85"/>
  <c r="J11" i="83"/>
  <c r="I16" i="89"/>
  <c r="I18" i="89"/>
  <c r="I19" i="89"/>
  <c r="J11" i="89"/>
  <c r="N11" i="89"/>
  <c r="E12" i="89"/>
  <c r="N12" i="89"/>
  <c r="N13" i="89"/>
  <c r="E11" i="89"/>
  <c r="B3" i="89"/>
  <c r="I16" i="87"/>
  <c r="I18" i="87"/>
  <c r="I19" i="87"/>
  <c r="E11" i="87"/>
  <c r="B3" i="87"/>
  <c r="I16" i="85"/>
  <c r="I18" i="85"/>
  <c r="I19" i="85"/>
  <c r="N11" i="85"/>
  <c r="E12" i="85"/>
  <c r="N12" i="85"/>
  <c r="N13" i="85"/>
  <c r="E11" i="85"/>
  <c r="B3" i="85"/>
  <c r="B3" i="83"/>
  <c r="I16" i="83"/>
  <c r="I18" i="83"/>
  <c r="I19" i="83"/>
  <c r="N11" i="83"/>
  <c r="E12" i="83"/>
  <c r="N12" i="83"/>
  <c r="N13" i="83"/>
  <c r="E11" i="83"/>
  <c r="F62" i="31"/>
  <c r="I62" i="31"/>
  <c r="I63" i="31"/>
  <c r="I30" i="31"/>
  <c r="I31" i="31"/>
  <c r="I32" i="31"/>
  <c r="I33" i="31"/>
  <c r="I34" i="31"/>
  <c r="I35" i="31"/>
  <c r="I36" i="31"/>
  <c r="I37" i="31"/>
  <c r="I38" i="31"/>
  <c r="I39" i="31"/>
  <c r="I40" i="31"/>
  <c r="I41" i="31"/>
  <c r="I42" i="31"/>
  <c r="I43" i="31"/>
  <c r="I44" i="31"/>
  <c r="I45" i="31"/>
  <c r="I46" i="31"/>
  <c r="I47" i="31"/>
  <c r="I48" i="31"/>
  <c r="I49" i="31"/>
  <c r="I50" i="31"/>
  <c r="I51" i="31"/>
  <c r="I52" i="31"/>
  <c r="I15" i="37"/>
  <c r="J11" i="37"/>
  <c r="N11" i="37"/>
  <c r="J11" i="44"/>
  <c r="E11" i="44"/>
  <c r="N11" i="44"/>
  <c r="I17" i="44"/>
  <c r="I16" i="44"/>
  <c r="I15" i="44"/>
  <c r="N11" i="25"/>
  <c r="N11" i="42"/>
  <c r="E11" i="42"/>
  <c r="E11" i="25"/>
  <c r="N12" i="25"/>
  <c r="I18" i="36"/>
  <c r="I17" i="36"/>
  <c r="I16" i="36"/>
  <c r="I15" i="36"/>
  <c r="N2" i="33"/>
  <c r="I15" i="33"/>
  <c r="I16" i="33"/>
  <c r="I17" i="33"/>
  <c r="I18" i="33"/>
  <c r="I19" i="33"/>
  <c r="I20" i="33"/>
  <c r="I21" i="33"/>
  <c r="D11" i="33"/>
  <c r="J11" i="33"/>
  <c r="E11" i="33"/>
  <c r="N11" i="33"/>
  <c r="N12" i="33"/>
  <c r="C11" i="31"/>
  <c r="D11" i="31"/>
  <c r="E11" i="31"/>
  <c r="J11" i="36"/>
  <c r="E11" i="36"/>
  <c r="N11" i="36"/>
  <c r="N12" i="36"/>
  <c r="N2" i="36"/>
  <c r="C14" i="31"/>
  <c r="D14" i="31"/>
  <c r="E14" i="31"/>
  <c r="I18" i="44"/>
  <c r="N12" i="44"/>
  <c r="N2" i="44"/>
  <c r="C15" i="31"/>
  <c r="D15" i="31"/>
  <c r="E15" i="31"/>
  <c r="N12" i="37"/>
  <c r="I16" i="37"/>
  <c r="N2" i="37"/>
  <c r="C16" i="31"/>
  <c r="D16" i="31"/>
  <c r="E16" i="31"/>
  <c r="N2" i="32"/>
  <c r="C10" i="31"/>
  <c r="D10" i="31"/>
  <c r="E10" i="31"/>
  <c r="C12" i="31"/>
  <c r="D12" i="31"/>
  <c r="E12" i="31"/>
  <c r="C13" i="31"/>
  <c r="D13" i="31"/>
  <c r="E13" i="31"/>
  <c r="E21" i="31"/>
  <c r="D24" i="31"/>
  <c r="N24" i="31"/>
  <c r="N25" i="31"/>
  <c r="N26" i="31"/>
  <c r="N27" i="31"/>
  <c r="D55" i="31"/>
  <c r="J55" i="31"/>
  <c r="D56" i="31"/>
  <c r="J56" i="31"/>
  <c r="D57" i="31"/>
  <c r="J57" i="31"/>
  <c r="J58" i="31"/>
  <c r="J59" i="31"/>
  <c r="N2" i="31"/>
  <c r="I16" i="32"/>
  <c r="I22" i="32"/>
  <c r="I23" i="32"/>
  <c r="I21" i="32"/>
  <c r="I20" i="32"/>
  <c r="I19" i="32"/>
  <c r="I18" i="32"/>
  <c r="I17" i="32"/>
  <c r="I15" i="32"/>
  <c r="J11" i="32"/>
  <c r="C30" i="8"/>
  <c r="C29" i="8"/>
  <c r="C28" i="8"/>
  <c r="C27" i="8"/>
  <c r="E33" i="8"/>
  <c r="E34" i="8"/>
  <c r="E35" i="8"/>
  <c r="E36" i="8"/>
  <c r="E37" i="8"/>
  <c r="E38" i="8"/>
  <c r="E32" i="8"/>
  <c r="F19" i="8"/>
  <c r="E27" i="8"/>
  <c r="E28" i="8"/>
  <c r="E29" i="8"/>
  <c r="E30" i="8"/>
  <c r="D20" i="31"/>
  <c r="D19" i="31"/>
  <c r="D18" i="31"/>
  <c r="D17" i="31"/>
  <c r="C20" i="31"/>
  <c r="C19" i="31"/>
  <c r="C18" i="31"/>
  <c r="C17" i="31"/>
  <c r="B20" i="31"/>
  <c r="B19" i="31"/>
  <c r="B18" i="31"/>
  <c r="B17" i="31"/>
  <c r="E20" i="31"/>
  <c r="E19" i="31"/>
  <c r="E18" i="31"/>
  <c r="E17" i="31"/>
  <c r="B10" i="31"/>
  <c r="B11" i="31"/>
  <c r="B12" i="31"/>
  <c r="B13" i="31"/>
  <c r="B14" i="31"/>
  <c r="B15" i="31"/>
  <c r="B16" i="31"/>
  <c r="I17" i="72"/>
  <c r="N2" i="72"/>
  <c r="C17" i="20"/>
  <c r="D17" i="20"/>
  <c r="E17" i="20"/>
  <c r="I17" i="74"/>
  <c r="N2" i="74"/>
  <c r="C18" i="20"/>
  <c r="D18" i="20"/>
  <c r="E18" i="20"/>
  <c r="I17" i="76"/>
  <c r="N2" i="76"/>
  <c r="C19" i="20"/>
  <c r="D19" i="20"/>
  <c r="E19" i="20"/>
  <c r="C20" i="20"/>
  <c r="D20" i="20"/>
  <c r="E20" i="20"/>
  <c r="C16" i="20"/>
  <c r="D16" i="20"/>
  <c r="E16" i="20"/>
  <c r="N2" i="21"/>
  <c r="C10" i="20"/>
  <c r="D10" i="20"/>
  <c r="E10" i="20"/>
  <c r="C11" i="20"/>
  <c r="D11" i="20"/>
  <c r="E11" i="20"/>
  <c r="C12" i="20"/>
  <c r="D12" i="20"/>
  <c r="E12" i="20"/>
  <c r="C13" i="20"/>
  <c r="D13" i="20"/>
  <c r="E13" i="20"/>
  <c r="I16" i="25"/>
  <c r="I18" i="25"/>
  <c r="N2" i="25"/>
  <c r="C14" i="20"/>
  <c r="D14" i="20"/>
  <c r="E14" i="20"/>
  <c r="N12" i="42"/>
  <c r="N2" i="42"/>
  <c r="C15" i="20"/>
  <c r="D15" i="20"/>
  <c r="E15" i="20"/>
  <c r="E21" i="20"/>
  <c r="N13" i="72"/>
  <c r="N13" i="74"/>
  <c r="N13" i="78"/>
  <c r="I17" i="78"/>
  <c r="N13" i="76"/>
  <c r="F15" i="8"/>
  <c r="F18" i="8"/>
  <c r="F17" i="8"/>
  <c r="F16" i="8"/>
  <c r="C17" i="8"/>
  <c r="B20" i="20"/>
  <c r="B19" i="20"/>
  <c r="B18" i="20"/>
  <c r="B17" i="20"/>
  <c r="D55" i="20"/>
  <c r="J55" i="20"/>
  <c r="D56" i="20"/>
  <c r="J56" i="20"/>
  <c r="D57" i="20"/>
  <c r="J57" i="20"/>
  <c r="J58" i="20"/>
  <c r="J59" i="20"/>
  <c r="I30" i="20"/>
  <c r="I31" i="20"/>
  <c r="I32" i="20"/>
  <c r="I33" i="20"/>
  <c r="I34" i="20"/>
  <c r="I35" i="20"/>
  <c r="I36" i="20"/>
  <c r="I37" i="20"/>
  <c r="I38" i="20"/>
  <c r="I39" i="20"/>
  <c r="I40" i="20"/>
  <c r="I41" i="20"/>
  <c r="I42" i="20"/>
  <c r="I43" i="20"/>
  <c r="I44" i="20"/>
  <c r="I45" i="20"/>
  <c r="I46" i="20"/>
  <c r="I47" i="20"/>
  <c r="I48" i="20"/>
  <c r="I49" i="20"/>
  <c r="I50" i="20"/>
  <c r="I51" i="20"/>
  <c r="I52" i="20"/>
  <c r="I15" i="22"/>
  <c r="I17" i="22"/>
  <c r="I21" i="22"/>
  <c r="N2" i="22"/>
  <c r="I15" i="25"/>
  <c r="I15" i="42"/>
  <c r="I18" i="42"/>
  <c r="D24" i="20"/>
  <c r="N24" i="20"/>
  <c r="N25" i="20"/>
  <c r="N26" i="20"/>
  <c r="N27" i="20"/>
  <c r="I19" i="78"/>
  <c r="I18" i="78"/>
  <c r="I16" i="78"/>
  <c r="E12" i="78"/>
  <c r="N12" i="78"/>
  <c r="N11" i="78"/>
  <c r="E11" i="78"/>
  <c r="B4" i="78"/>
  <c r="B3" i="78"/>
  <c r="I19" i="76"/>
  <c r="I18" i="76"/>
  <c r="I16" i="76"/>
  <c r="E12" i="76"/>
  <c r="N12" i="76"/>
  <c r="N11" i="76"/>
  <c r="E11" i="76"/>
  <c r="B4" i="76"/>
  <c r="B3" i="76"/>
  <c r="E12" i="72"/>
  <c r="N12" i="72"/>
  <c r="N12" i="74"/>
  <c r="E12" i="74"/>
  <c r="I19" i="74"/>
  <c r="I18" i="74"/>
  <c r="I16" i="74"/>
  <c r="N11" i="74"/>
  <c r="E11" i="74"/>
  <c r="B4" i="74"/>
  <c r="B3" i="74"/>
  <c r="I16" i="72"/>
  <c r="I19" i="72"/>
  <c r="I18" i="72"/>
  <c r="J11" i="72"/>
  <c r="N11" i="72"/>
  <c r="E11" i="72"/>
  <c r="B4" i="72"/>
  <c r="B3" i="72"/>
  <c r="F7" i="8"/>
  <c r="E15" i="8"/>
  <c r="E16" i="8"/>
  <c r="E17" i="8"/>
  <c r="E18" i="8"/>
  <c r="C18" i="8"/>
  <c r="C16" i="8"/>
  <c r="C15" i="8"/>
  <c r="E21" i="59"/>
  <c r="N2" i="59"/>
  <c r="J11" i="26"/>
  <c r="N11" i="26"/>
  <c r="I15" i="26"/>
  <c r="I17" i="42"/>
  <c r="I16" i="42"/>
  <c r="J11" i="42"/>
  <c r="J11" i="25"/>
  <c r="I17" i="25"/>
  <c r="F15" i="24"/>
  <c r="E11" i="24"/>
  <c r="N11" i="24"/>
  <c r="I20" i="22"/>
  <c r="I19" i="22"/>
  <c r="I18" i="22"/>
  <c r="I16" i="22"/>
  <c r="E11" i="22"/>
  <c r="N11" i="22"/>
  <c r="J11" i="22"/>
  <c r="I24" i="21"/>
  <c r="I26" i="21"/>
  <c r="I16" i="21"/>
  <c r="I17" i="21"/>
  <c r="I18" i="21"/>
  <c r="I19" i="21"/>
  <c r="I20" i="21"/>
  <c r="I21" i="21"/>
  <c r="I22" i="21"/>
  <c r="I23" i="21"/>
  <c r="I25" i="21"/>
  <c r="N11" i="21"/>
  <c r="D11" i="21"/>
  <c r="J11" i="21"/>
  <c r="F62" i="20"/>
  <c r="I62" i="20"/>
  <c r="I63" i="20"/>
  <c r="N5" i="65"/>
  <c r="B3" i="65"/>
  <c r="I15" i="64"/>
  <c r="I16" i="64"/>
  <c r="I17" i="64"/>
  <c r="I18" i="64"/>
  <c r="I19" i="64"/>
  <c r="I20" i="64"/>
  <c r="I21" i="64"/>
  <c r="J11" i="64"/>
  <c r="N2" i="64"/>
  <c r="N5" i="64"/>
  <c r="B3" i="64"/>
  <c r="N5" i="63"/>
  <c r="B3" i="63"/>
  <c r="N5" i="62"/>
  <c r="B3" i="62"/>
  <c r="R13" i="61"/>
  <c r="R14" i="61"/>
  <c r="N5" i="61"/>
  <c r="B3" i="61"/>
  <c r="N5" i="60"/>
  <c r="B3" i="60"/>
  <c r="N5" i="59"/>
  <c r="J11" i="51"/>
  <c r="E11" i="51"/>
  <c r="N11" i="51"/>
  <c r="D55" i="46"/>
  <c r="J55" i="46"/>
  <c r="D56" i="46"/>
  <c r="J56" i="46"/>
  <c r="D57" i="46"/>
  <c r="J57" i="46"/>
  <c r="J58" i="46"/>
  <c r="J59" i="46"/>
  <c r="I16" i="52"/>
  <c r="F15" i="50"/>
  <c r="I15" i="50"/>
  <c r="I16" i="50"/>
  <c r="I21" i="48"/>
  <c r="N12" i="52"/>
  <c r="N12" i="51"/>
  <c r="E11" i="50"/>
  <c r="D11" i="50"/>
  <c r="N11" i="50"/>
  <c r="N12" i="50"/>
  <c r="N12" i="48"/>
  <c r="N12" i="47"/>
  <c r="N27" i="46"/>
  <c r="N2" i="51"/>
  <c r="C14" i="46"/>
  <c r="D14" i="46"/>
  <c r="E14" i="46"/>
  <c r="N2" i="47"/>
  <c r="C10" i="46"/>
  <c r="D10" i="46"/>
  <c r="E10" i="46"/>
  <c r="D11" i="46"/>
  <c r="N2" i="48"/>
  <c r="C11" i="46"/>
  <c r="E11" i="46"/>
  <c r="D12" i="46"/>
  <c r="C12" i="46"/>
  <c r="E12" i="46"/>
  <c r="D13" i="46"/>
  <c r="N2" i="50"/>
  <c r="C13" i="46"/>
  <c r="E13" i="46"/>
  <c r="D16" i="46"/>
  <c r="N2" i="52"/>
  <c r="C16" i="46"/>
  <c r="E16" i="46"/>
  <c r="E21" i="46"/>
  <c r="N2" i="46"/>
  <c r="F37" i="8"/>
  <c r="F36" i="8"/>
  <c r="F35" i="8"/>
  <c r="F34" i="8"/>
  <c r="F33" i="8"/>
  <c r="F32" i="8"/>
  <c r="C38" i="8"/>
  <c r="C37" i="8"/>
  <c r="C36" i="8"/>
  <c r="C35" i="8"/>
  <c r="C34" i="8"/>
  <c r="C33" i="8"/>
  <c r="C32" i="8"/>
  <c r="C31" i="8"/>
  <c r="C26" i="8"/>
  <c r="I15" i="24"/>
  <c r="J11" i="23"/>
  <c r="F15" i="23"/>
  <c r="I15" i="23"/>
  <c r="F15" i="35"/>
  <c r="I15" i="35"/>
  <c r="F15" i="34"/>
  <c r="I15" i="34"/>
  <c r="F15" i="49"/>
  <c r="I15" i="49"/>
  <c r="E11" i="49"/>
  <c r="D11" i="49"/>
  <c r="N11" i="49"/>
  <c r="J11" i="50"/>
  <c r="J11" i="49"/>
  <c r="D15" i="46"/>
  <c r="C15" i="46"/>
  <c r="B15" i="46"/>
  <c r="B1" i="55"/>
  <c r="B1" i="53"/>
  <c r="B1" i="54"/>
  <c r="B1" i="56"/>
  <c r="N5" i="52"/>
  <c r="B3" i="52"/>
  <c r="I15" i="51"/>
  <c r="I16" i="51"/>
  <c r="I17" i="51"/>
  <c r="I18" i="51"/>
  <c r="I19" i="51"/>
  <c r="I20" i="51"/>
  <c r="I21" i="51"/>
  <c r="N5" i="51"/>
  <c r="B3" i="51"/>
  <c r="N5" i="50"/>
  <c r="B3" i="50"/>
  <c r="I16" i="49"/>
  <c r="N12" i="49"/>
  <c r="N2" i="49"/>
  <c r="N5" i="49"/>
  <c r="B3" i="49"/>
  <c r="R13" i="48"/>
  <c r="N5" i="48"/>
  <c r="B3" i="48"/>
  <c r="N5" i="47"/>
  <c r="B3" i="47"/>
  <c r="B16" i="46"/>
  <c r="B14" i="46"/>
  <c r="B13" i="46"/>
  <c r="B12" i="46"/>
  <c r="B11" i="46"/>
  <c r="B10" i="46"/>
  <c r="N5" i="46"/>
  <c r="C25" i="8"/>
  <c r="E25" i="8"/>
  <c r="F25" i="8"/>
  <c r="B1" i="45"/>
  <c r="B1" i="41"/>
  <c r="N5" i="44"/>
  <c r="B3" i="44"/>
  <c r="C13" i="8"/>
  <c r="E13" i="8"/>
  <c r="F13" i="8"/>
  <c r="B1" i="30"/>
  <c r="B1" i="43"/>
  <c r="N12" i="22"/>
  <c r="I16" i="23"/>
  <c r="E11" i="23"/>
  <c r="D11" i="23"/>
  <c r="N11" i="23"/>
  <c r="N12" i="23"/>
  <c r="N2" i="23"/>
  <c r="I16" i="24"/>
  <c r="N12" i="24"/>
  <c r="N2" i="24"/>
  <c r="I16" i="26"/>
  <c r="N12" i="26"/>
  <c r="N2" i="26"/>
  <c r="N12" i="21"/>
  <c r="I15" i="21"/>
  <c r="N5" i="42"/>
  <c r="B4" i="42"/>
  <c r="B3" i="42"/>
  <c r="C14" i="8"/>
  <c r="E21" i="8"/>
  <c r="E22" i="8"/>
  <c r="E23" i="8"/>
  <c r="E24" i="8"/>
  <c r="E26" i="8"/>
  <c r="E20" i="8"/>
  <c r="D11" i="35"/>
  <c r="N11" i="35"/>
  <c r="D11" i="34"/>
  <c r="N11" i="34"/>
  <c r="J11" i="35"/>
  <c r="E11" i="35"/>
  <c r="J11" i="34"/>
  <c r="E11" i="34"/>
  <c r="J11" i="24"/>
  <c r="K11" i="35"/>
  <c r="F26" i="8"/>
  <c r="F24" i="8"/>
  <c r="F23" i="8"/>
  <c r="F22" i="8"/>
  <c r="F20" i="8"/>
  <c r="F21" i="8"/>
  <c r="I16" i="35"/>
  <c r="I16" i="34"/>
  <c r="N12" i="35"/>
  <c r="N12" i="34"/>
  <c r="N11" i="32"/>
  <c r="N12" i="32"/>
  <c r="C24" i="8"/>
  <c r="C23" i="8"/>
  <c r="C22" i="8"/>
  <c r="C21" i="8"/>
  <c r="C20" i="8"/>
  <c r="C19" i="8"/>
  <c r="B1" i="38"/>
  <c r="N5" i="37"/>
  <c r="B3" i="37"/>
  <c r="N5" i="36"/>
  <c r="B3" i="36"/>
  <c r="N2" i="35"/>
  <c r="N5" i="35"/>
  <c r="B3" i="35"/>
  <c r="N2" i="34"/>
  <c r="N5" i="34"/>
  <c r="B3" i="34"/>
  <c r="N5" i="33"/>
  <c r="B3" i="33"/>
  <c r="N5" i="32"/>
  <c r="B3" i="32"/>
  <c r="N5" i="31"/>
  <c r="F14" i="8"/>
  <c r="F12" i="8"/>
  <c r="F11" i="8"/>
  <c r="F10" i="8"/>
  <c r="F9" i="8"/>
  <c r="F8" i="8"/>
  <c r="E9" i="8"/>
  <c r="E10" i="8"/>
  <c r="E11" i="8"/>
  <c r="E12" i="8"/>
  <c r="E14" i="8"/>
  <c r="E8" i="8"/>
  <c r="C12" i="8"/>
  <c r="C11" i="8"/>
  <c r="C10" i="8"/>
  <c r="C9" i="8"/>
  <c r="C8" i="8"/>
  <c r="C7" i="8"/>
  <c r="B1" i="27"/>
  <c r="N2" i="20"/>
  <c r="L58" i="30"/>
  <c r="B4" i="26"/>
  <c r="B3" i="26"/>
  <c r="B4" i="25"/>
  <c r="B3" i="25"/>
  <c r="B4" i="24"/>
  <c r="B3" i="24"/>
  <c r="B4" i="23"/>
  <c r="B3" i="23"/>
  <c r="D11" i="22"/>
  <c r="B4" i="22"/>
  <c r="B3" i="22"/>
  <c r="B4" i="21"/>
  <c r="B3" i="21"/>
  <c r="B16" i="20"/>
  <c r="B14" i="20"/>
  <c r="B13" i="20"/>
  <c r="B12" i="20"/>
  <c r="B11" i="20"/>
  <c r="B10" i="20"/>
  <c r="N5" i="21"/>
  <c r="N5" i="22"/>
  <c r="N5" i="25"/>
  <c r="N5" i="24"/>
  <c r="N5" i="26"/>
  <c r="N5" i="23"/>
  <c r="N5" i="20"/>
  <c r="O1" i="8"/>
</calcChain>
</file>

<file path=xl/sharedStrings.xml><?xml version="1.0" encoding="utf-8"?>
<sst xmlns="http://schemas.openxmlformats.org/spreadsheetml/2006/main" count="5821" uniqueCount="575">
  <si>
    <t>University</t>
  </si>
  <si>
    <t>Car #</t>
  </si>
  <si>
    <t>Asm Cost</t>
  </si>
  <si>
    <t>System</t>
  </si>
  <si>
    <t>Qty</t>
  </si>
  <si>
    <t>Assembly</t>
  </si>
  <si>
    <t>FileLink1</t>
  </si>
  <si>
    <t>P/N Base</t>
  </si>
  <si>
    <t>FileLink2</t>
  </si>
  <si>
    <t>Extended Cost</t>
  </si>
  <si>
    <t>Suffix</t>
  </si>
  <si>
    <t>AA</t>
  </si>
  <si>
    <t>FileLink3</t>
  </si>
  <si>
    <t>Details</t>
  </si>
  <si>
    <t>ItemOrder</t>
  </si>
  <si>
    <t>Part</t>
  </si>
  <si>
    <t>Part Cost</t>
  </si>
  <si>
    <t>Quantity</t>
  </si>
  <si>
    <t>Sub Total</t>
  </si>
  <si>
    <t>Material</t>
  </si>
  <si>
    <t>Use</t>
  </si>
  <si>
    <t>UnitCost</t>
  </si>
  <si>
    <t>Size1</t>
  </si>
  <si>
    <t>Unit1</t>
  </si>
  <si>
    <t>Size2</t>
  </si>
  <si>
    <t>Unit2</t>
  </si>
  <si>
    <t>Area Name</t>
  </si>
  <si>
    <t>Area</t>
  </si>
  <si>
    <t>Length</t>
  </si>
  <si>
    <t>Density</t>
  </si>
  <si>
    <t>mm</t>
  </si>
  <si>
    <t>Process</t>
  </si>
  <si>
    <t>Unit</t>
  </si>
  <si>
    <t>Multiplier</t>
  </si>
  <si>
    <t>Mult. Val.</t>
  </si>
  <si>
    <t>unit</t>
  </si>
  <si>
    <t>Fastener</t>
  </si>
  <si>
    <t>Ecole Centrale de Lyon</t>
  </si>
  <si>
    <t>Stock material for part</t>
  </si>
  <si>
    <t>Machining Setup, Install and remove</t>
  </si>
  <si>
    <t>cm</t>
  </si>
  <si>
    <t>Total Vehicle Cost</t>
  </si>
  <si>
    <t>Competition Code</t>
  </si>
  <si>
    <t>Year</t>
  </si>
  <si>
    <t>The cost of assemlies on this chart should not include the cost of the parts in the assembly but only the materials, processes, fasteners and tooling in the assembly level.</t>
  </si>
  <si>
    <t>Line Num.</t>
  </si>
  <si>
    <t>Area of Commodity</t>
  </si>
  <si>
    <t>Asm/Prt #</t>
  </si>
  <si>
    <t>Rev. Lvl.</t>
  </si>
  <si>
    <t>Asm</t>
  </si>
  <si>
    <t>Component</t>
  </si>
  <si>
    <t>Description</t>
  </si>
  <si>
    <t>Unit Cost</t>
  </si>
  <si>
    <t>Material Cost</t>
  </si>
  <si>
    <t>Process Cost</t>
  </si>
  <si>
    <t>Fastener Cost</t>
  </si>
  <si>
    <t>Tooling Cost</t>
  </si>
  <si>
    <t>Total Cost</t>
  </si>
  <si>
    <t>Details Page Number</t>
  </si>
  <si>
    <t>Area Total</t>
  </si>
  <si>
    <t>Etape 1</t>
  </si>
  <si>
    <t>Créer l'assemblage</t>
  </si>
  <si>
    <t>Donner une brève description (en anglais) de l'assemblage dans la ligne Details</t>
  </si>
  <si>
    <t>Renomme cette cellule du nom du code qu'elle comprend mais avec un _ comme séparateur : ex EL_A0001</t>
  </si>
  <si>
    <t>Cette étape est importante pour créer des hyperliens ensuite</t>
  </si>
  <si>
    <t>Etape 2</t>
  </si>
  <si>
    <t>Remplir les données</t>
  </si>
  <si>
    <t>Etape 3</t>
  </si>
  <si>
    <t>Créer les parts</t>
  </si>
  <si>
    <t>Lui donner un nom en clair (et en anglais ^^) dans la ligne Part</t>
  </si>
  <si>
    <t>Donner une brève description (en anglais) de la Part dans la ligne Details</t>
  </si>
  <si>
    <t>Etape 4</t>
  </si>
  <si>
    <t>Etape 5</t>
  </si>
  <si>
    <t>Inserer les Parts dans l'assemblage</t>
  </si>
  <si>
    <t>Dans la ligne Assembly, indiquer le nom de l'assemblage parent en mettant = puis en sélectionnant le bonne cellule de la page assemblies</t>
  </si>
  <si>
    <t>Remplir dans l'assemblage les cellules nom / part cost et quantity pour chaque parts (toujours en dynamique, ne faites pas de copier coller svp)</t>
  </si>
  <si>
    <t>Etape 6</t>
  </si>
  <si>
    <t>Remplir la BOM</t>
  </si>
  <si>
    <t>Il s'agit de faire la nomenclature de votre partie dans l'onglet BOM</t>
  </si>
  <si>
    <t>Commencez par l'assemblage (de couleur plus foncée)</t>
  </si>
  <si>
    <t>De manière générale la colonne description ne sera pas remplie</t>
  </si>
  <si>
    <t>Cellule ASM/PRT# mettre le code de l'assemblage</t>
  </si>
  <si>
    <t>Laisser la cellule ASM vide</t>
  </si>
  <si>
    <t>Mettre le nom de l'assemblage dans Component, avec un lien vers l'assemblage en question</t>
  </si>
  <si>
    <t>Code dans ASM/PRT# aligné à droite, nom de l'assemblage parent dans ASM, Nom de la part dans Component</t>
  </si>
  <si>
    <t>Mettre un lien vers la part en question sur le nom de cette dernière</t>
  </si>
  <si>
    <t>Drawing</t>
  </si>
  <si>
    <t>Etape 7</t>
  </si>
  <si>
    <t>Ajouter les plans</t>
  </si>
  <si>
    <t>Au-dessus du plan écrire "Drawing part :" et dans la cellule d'à côté mettre le code de la Part en question</t>
  </si>
  <si>
    <t>Ajouter un lien pour pouvoir revenir vers le détail de la Part sur cette cellule</t>
  </si>
  <si>
    <t>Renommer la zone où le code P/N Base est entré. Pour cela selectionner la cellule par un simple clic, cliquer ensuite dans le menu déroulant en haut à gauche indiquant le nom de la cellule (à côté de la barre de formule)</t>
  </si>
  <si>
    <t>Insérer un lien vers la Part sur le plan par clic droit sur l'image. Cible du lien vers la Part (ex EL_01001)</t>
  </si>
  <si>
    <r>
      <t xml:space="preserve">Pour la quantité des parts : mettre la </t>
    </r>
    <r>
      <rPr>
        <b/>
        <sz val="11"/>
        <color rgb="FFFF0000"/>
        <rFont val="Calibri"/>
        <family val="2"/>
      </rPr>
      <t>quantité absolue</t>
    </r>
    <r>
      <rPr>
        <b/>
        <sz val="11"/>
        <color rgb="FF000000"/>
        <rFont val="Calibri"/>
        <family val="2"/>
      </rPr>
      <t xml:space="preserve"> sur la voiture !!! Du coup c'est quantité de l'assemblage * quantité de cette part dans l'assemblage</t>
    </r>
  </si>
  <si>
    <t>Renommer les cases quantité (cellule N3), et sous-totaux par respectivement code_de_l'assemblage_x avec x = q pour quantité, pa pour part, m pour material, f pour fastener, t pour tooling et p pour process</t>
  </si>
  <si>
    <t>Feuille Br Assembly : Feuille pour 1 assemblage du système BR. Pour un nouvel assemblage, créer un nouveau document à partir du template. 1 document Excel = 1 assemblage</t>
  </si>
  <si>
    <t>Donner un nom clair à l'assemblage (et en anglais ^^) dans la ligne Assembly</t>
  </si>
  <si>
    <t>Ajouter une illustration de la part (photo propre sur fond blanc si possible, vue CATIA sinon) dans la plus basse définition possible svp, on est limité en taille de fichier</t>
  </si>
  <si>
    <t>Remplir les données de l'assemblage</t>
  </si>
  <si>
    <t>Pour toute question, contacter Raphaël Mounet ou Clément Marie par Messenger de préférence, par mail sinon.</t>
  </si>
  <si>
    <t>Renommer l'onglet avec ce même code. Enregistrer le document Excel sous ce même nom.</t>
  </si>
  <si>
    <t>Renommer l'onglet avec ce même code.</t>
  </si>
  <si>
    <t>Renommer cette cellule du nom du code qu'elle comprend mais avec un _ comme séparateur : ex BR_01001</t>
  </si>
  <si>
    <t>Lui donner un code suivant la règle XX AYYYY dans la ligne P/N Base , avec XX le code de votre partie et YYYY le numéro de l'assemblage (c'est le même code que celui que vous avez dû utiliser sous CATIA)</t>
  </si>
  <si>
    <t>Lui donner un code suivant la règle XX YYZZZ dans la ligne P/N Base , avec XX le code de votre partie et YY le numéro de l'assemblage et ZZZ le numéro de la part dans cet assemblage (même code que sous CATIA)</t>
  </si>
  <si>
    <t>Créer un lien vers l'assemblage : sélectionner la cellule, faites Ctrl+K, il apparait une fenetre, en référence de la cellule (A1 par défaut) indiquez le nom de la cellule renommé de l'assemblage (par ex BR_A0001)</t>
  </si>
  <si>
    <t>Renommer les cases quantité (cellule N3), et sous-totaux de chaque part respectivement code_de_la_part_x avec x = q pour quantité, m pour material, f pour fastener, t pour tooling et p pour process</t>
  </si>
  <si>
    <t>ex : BR_01001_q, …</t>
  </si>
  <si>
    <t>ex BR_A0001_q, …</t>
  </si>
  <si>
    <t>Remplir la quantité, Material, Process, Fastener, Tooling. Dans le cas où une table n'est pas concernée (elle est restée vide), la supprimer complètement.</t>
  </si>
  <si>
    <t>Renommer la cellule avec le nouveau lien d_code_de_la_part, ex dBR_01001</t>
  </si>
  <si>
    <t>sélectionner la cellule, faites Ctrl+K, apparait une fenetre, en référence de la cellule (A1 par défaut) indiquez le nom de la cellule renommé de la Part (par ex BR_01001)</t>
  </si>
  <si>
    <t>Vérifier que la formule dans Asm Cost (cellule N2) renvoie aux noms corrects des cellules prcédentes. Sinon, faire les modifications nécessaires.</t>
  </si>
  <si>
    <t>Vérifier que la formule dans Part Cost (cellule N2) renvoie aux noms corrects des cellules prcédentes. Sinon, faire les modifications nécessaires.</t>
  </si>
  <si>
    <t>On peut faire 2 colonnes de plan pour des tailles différentes. La référence reste les plans en paysage.</t>
  </si>
  <si>
    <t>Insérer un lien vers la part sur le nom de celle-ci. Pour cela :</t>
  </si>
  <si>
    <t>Remplir les cellules Quantity, Material, Process, Fastener et Tooling cost. Pour ça :</t>
  </si>
  <si>
    <t>il suffit de mettre = Code de la pièce _ x avec q pour quantité, m pour material, p pour process, f pour fastener, t pour tooling (vous aviez renommé les cellules avant)</t>
  </si>
  <si>
    <r>
      <t xml:space="preserve">Remplir la quantité (nombre d'occurrence de la pièce dans </t>
    </r>
    <r>
      <rPr>
        <u/>
        <sz val="11"/>
        <color rgb="FF000000"/>
        <rFont val="Calibri"/>
        <family val="2"/>
      </rPr>
      <t>un seul</t>
    </r>
    <r>
      <rPr>
        <sz val="11"/>
        <color rgb="FF000000"/>
        <rFont val="Calibri"/>
        <family val="2"/>
        <charset val="1"/>
      </rPr>
      <t xml:space="preserve"> assemblage).</t>
    </r>
  </si>
  <si>
    <t xml:space="preserve"> Remplir les tables Material, Fastener, Process et Tooling. Dans le cas où une table n'est pas concernée (elle est restée vide), la supprimer complètement.</t>
  </si>
  <si>
    <t>Feuille Br Part x : Feuille pour 1 part de l'assemblage. Pour faire une nouvelle part, créer un nouvel onglet à partir du template. 1 onglet = 1 part.</t>
  </si>
  <si>
    <t>Faites une capture d'écran du plan de la part en question et coller l'image dans l'onglet "BR Drawing 1"</t>
  </si>
  <si>
    <t>Renommer l'onglet avec ce même code</t>
  </si>
  <si>
    <t>Dans le détail de la part (onglet "BR Part x") écrire à côté de cellule File Link "Drawing" et mettre un lien vers la cellule surplombant le plan ayant le code d_code_de_la_part (ex dBR_01001)</t>
  </si>
  <si>
    <t>Viennent ensuite les Parts. Pour chaque Part :</t>
  </si>
  <si>
    <t>FSAEI</t>
  </si>
  <si>
    <t>Back to BOM</t>
  </si>
  <si>
    <t>Petite marche à suivre pour remplir cette merveille qu'est le cost</t>
  </si>
  <si>
    <t>Consulter le tutoriel disponible sur GitHub, dans Vulcanix-v1.0/Cost Report, pour plus d'informations.</t>
  </si>
  <si>
    <t>Suspension &amp; Shocks</t>
  </si>
  <si>
    <t>SU A0100</t>
  </si>
  <si>
    <t>Sperical bearing</t>
  </si>
  <si>
    <t>Aluminum, Premium</t>
  </si>
  <si>
    <t>Upper face</t>
  </si>
  <si>
    <t>Setup for machining</t>
  </si>
  <si>
    <t>Outboard A-arm Insert</t>
  </si>
  <si>
    <t>Adhesive</t>
  </si>
  <si>
    <t>Glue for Ball Joint – Cost Included in Processes</t>
  </si>
  <si>
    <t>Epoxy resin for Tube/insert assembly – Cost Included in Processes</t>
  </si>
  <si>
    <t>Brush Apply</t>
  </si>
  <si>
    <t>cm²</t>
  </si>
  <si>
    <t>Assemble, 1kg, Line on line</t>
  </si>
  <si>
    <t>Hand Finish - Surface Preperation</t>
  </si>
  <si>
    <t>m²</t>
  </si>
  <si>
    <t>Ratchet &lt;= 25,4mm</t>
  </si>
  <si>
    <t>Reaction tool &lt;=25,4mm</t>
  </si>
  <si>
    <r>
      <t>Bo</t>
    </r>
    <r>
      <rPr>
        <sz val="11"/>
        <color rgb="FF000000"/>
        <rFont val="Calibri"/>
        <family val="2"/>
        <charset val="1"/>
      </rPr>
      <t>lt, Grade 8,8 (SAE 5)</t>
    </r>
  </si>
  <si>
    <t>A-Arm Fixing Bolts on Frame Side</t>
  </si>
  <si>
    <t>A-Arm Fixing Bolts on Upright Side</t>
  </si>
  <si>
    <r>
      <t>Nut,</t>
    </r>
    <r>
      <rPr>
        <sz val="11"/>
        <color rgb="FF000000"/>
        <rFont val="Calibri"/>
        <family val="2"/>
        <charset val="1"/>
      </rPr>
      <t xml:space="preserve"> Grade 8,8 (SAE 5)</t>
    </r>
  </si>
  <si>
    <t>A-Arm Fixing Nuts</t>
  </si>
  <si>
    <r>
      <t>Washe</t>
    </r>
    <r>
      <rPr>
        <sz val="11"/>
        <color rgb="FF000000"/>
        <rFont val="Calibri"/>
        <family val="2"/>
        <charset val="1"/>
      </rPr>
      <t>r, Grade 8,8 (SAE 5)</t>
    </r>
  </si>
  <si>
    <t>A-Arm Fixing Washers</t>
  </si>
  <si>
    <t>Upper Front A-arm tube (Back)  Carbon Fiber Tube</t>
  </si>
  <si>
    <t>Upper Front A-arm tube (Front)  Carbon Fiber Tube</t>
  </si>
  <si>
    <t>Upper Front A-arm</t>
  </si>
  <si>
    <t>Upper Front Bearing Support</t>
  </si>
  <si>
    <t>Inner Bearing Support</t>
  </si>
  <si>
    <t>Machining Setup, Change</t>
  </si>
  <si>
    <t>Machining</t>
  </si>
  <si>
    <t>Change for new operation</t>
  </si>
  <si>
    <t>cm^3</t>
  </si>
  <si>
    <t>Kg</t>
  </si>
  <si>
    <t>Cylinder face area</t>
  </si>
  <si>
    <t>tube face</t>
  </si>
  <si>
    <t>Cylinder face</t>
  </si>
  <si>
    <t>Mild Steel</t>
  </si>
  <si>
    <t>Turning</t>
  </si>
  <si>
    <t xml:space="preserve">Cuting part from stock cylinder </t>
  </si>
  <si>
    <t>Drilling</t>
  </si>
  <si>
    <t xml:space="preserve">Drawing part : </t>
  </si>
  <si>
    <t>SU_01002</t>
  </si>
  <si>
    <t>SU_01005</t>
  </si>
  <si>
    <t>SU_01001</t>
  </si>
  <si>
    <t>SU_01004</t>
  </si>
  <si>
    <t>SU_01003</t>
  </si>
  <si>
    <t>Lower Front A-arm</t>
  </si>
  <si>
    <t>SU A0200</t>
  </si>
  <si>
    <t>Lower Front Bearing Support</t>
  </si>
  <si>
    <t>SU_02002</t>
  </si>
  <si>
    <t>Lower Front A-arm tube (Front)  Carbon Fiber Tube</t>
  </si>
  <si>
    <t>SU_02003</t>
  </si>
  <si>
    <t>Lower Front A-arm tube (Back)  Carbon Fiber Tube</t>
  </si>
  <si>
    <t>SU_02004</t>
  </si>
  <si>
    <t>SU_02005</t>
  </si>
  <si>
    <t>SU_02006</t>
  </si>
  <si>
    <t>SU 02001</t>
  </si>
  <si>
    <t>SU 02002</t>
  </si>
  <si>
    <t>Carbon Fiber, 1 Ply</t>
  </si>
  <si>
    <t>Stock</t>
  </si>
  <si>
    <t>m^3</t>
  </si>
  <si>
    <t>SU_01007</t>
  </si>
  <si>
    <t>Spacer 2</t>
  </si>
  <si>
    <t>Spacer 1</t>
  </si>
  <si>
    <t>SU_01006</t>
  </si>
  <si>
    <t>Drawing part :</t>
  </si>
  <si>
    <t>SU_02007</t>
  </si>
  <si>
    <t>Upper Back A-arm</t>
  </si>
  <si>
    <t>SU A0300</t>
  </si>
  <si>
    <t>Upper Back Bearing Support</t>
  </si>
  <si>
    <t>Upper Back A-arm tube (Front)  Carbon Fiber Tube</t>
  </si>
  <si>
    <t>Upper Back A-arm tube (Back)  Carbon Fiber Tube</t>
  </si>
  <si>
    <t>SU 03002</t>
  </si>
  <si>
    <t>SU 03001</t>
  </si>
  <si>
    <t>SU 03003</t>
  </si>
  <si>
    <t>SU 03007</t>
  </si>
  <si>
    <t>SU 03006</t>
  </si>
  <si>
    <t>SU 03005</t>
  </si>
  <si>
    <t>SU 03004</t>
  </si>
  <si>
    <t>=SU_03006</t>
  </si>
  <si>
    <t>Lamination, Fillament Wirring</t>
  </si>
  <si>
    <t>Tube Lamination</t>
  </si>
  <si>
    <t>kg</t>
  </si>
  <si>
    <t>Lower Back A-arm</t>
  </si>
  <si>
    <t>SU A0400</t>
  </si>
  <si>
    <t>Lower Back Bearing Support</t>
  </si>
  <si>
    <t>SU_04001</t>
  </si>
  <si>
    <t>SU_04002</t>
  </si>
  <si>
    <t>Lower Back A-arm tube (Front)  Carbon Fiber Tube</t>
  </si>
  <si>
    <t>SU_04003</t>
  </si>
  <si>
    <t>Lower Back A-arm tube (Back)  Carbon Fiber Tube</t>
  </si>
  <si>
    <t>SU_04004</t>
  </si>
  <si>
    <t>SU_04005</t>
  </si>
  <si>
    <t>SU_04006</t>
  </si>
  <si>
    <t>Repeat 2</t>
  </si>
  <si>
    <t>Assemble, 1kg, loose</t>
  </si>
  <si>
    <t>Solvent degreasing  on carbon tube</t>
  </si>
  <si>
    <t>Solvent degreasing  on bearing bores</t>
  </si>
  <si>
    <t>Repeat 3</t>
  </si>
  <si>
    <t>Glue applying on bearing bores</t>
  </si>
  <si>
    <t>Bearing in Insert Bores</t>
  </si>
  <si>
    <t>Weld</t>
  </si>
  <si>
    <t>Steel mounts welding</t>
  </si>
  <si>
    <t>Aerosol Apply</t>
  </si>
  <si>
    <t>Steel mounts painting</t>
  </si>
  <si>
    <t>A-Arm Positionning</t>
  </si>
  <si>
    <t>Spacers installation</t>
  </si>
  <si>
    <t>Washers installation</t>
  </si>
  <si>
    <t>M8 bolts installation</t>
  </si>
  <si>
    <t>M8 nut blocking</t>
  </si>
  <si>
    <t>Solvent degreasing  on Upper Front Bearing Support</t>
  </si>
  <si>
    <t>Glue applying on on Upper Front Bearing Support</t>
  </si>
  <si>
    <t>Solvent degreasing  on Outboard A-arm Insert</t>
  </si>
  <si>
    <t>Solvent degreasing  on Outboard A-arm insert</t>
  </si>
  <si>
    <t>Glue applying on Outboard A-arm Inserts</t>
  </si>
  <si>
    <t>Outboard A-arm Insert in Upper front bearing support</t>
  </si>
  <si>
    <t>Solvent degreasing  on Inner Bearing support</t>
  </si>
  <si>
    <t xml:space="preserve">Glue applying on Inner Bearing support </t>
  </si>
  <si>
    <t>Inner Bearing support in Carbon Tube</t>
  </si>
  <si>
    <t>Outboard A-arm Insert in Carbon Tube with Inner Bearing support</t>
  </si>
  <si>
    <t>Tooling</t>
  </si>
  <si>
    <t>PVF</t>
  </si>
  <si>
    <t>FractionIncluded</t>
  </si>
  <si>
    <t>Welds - Welding Fixture</t>
  </si>
  <si>
    <t>Welding processes</t>
  </si>
  <si>
    <t>point</t>
  </si>
  <si>
    <t>Main shape
contouring and top of the main hole machining</t>
  </si>
  <si>
    <t>First tube hole machining</t>
  </si>
  <si>
    <t>Second tube hole machining</t>
  </si>
  <si>
    <t>Angle and bottom of the main hole machining</t>
  </si>
  <si>
    <t>Suspension rod support machining</t>
  </si>
  <si>
    <t>Drilled holes &lt; 25.4 mm</t>
  </si>
  <si>
    <t>Suspension rod support drilling</t>
  </si>
  <si>
    <t>Main shape
machining</t>
  </si>
  <si>
    <t>Material - Aluminium</t>
  </si>
  <si>
    <t>Sides machining</t>
  </si>
  <si>
    <t>Hole machining</t>
  </si>
  <si>
    <t>Material removal</t>
  </si>
  <si>
    <t>Material -Steel</t>
  </si>
  <si>
    <t>Drilled holes &lt;25,4mm dia.</t>
  </si>
  <si>
    <t>Holes for assembly</t>
  </si>
  <si>
    <t>hole</t>
  </si>
  <si>
    <t>Saw or tubing cut</t>
  </si>
  <si>
    <t>Aluminium, Premium (per kg)</t>
  </si>
  <si>
    <t>cylinder</t>
  </si>
  <si>
    <t>Round area diam. 24mm</t>
  </si>
  <si>
    <t>m^2</t>
  </si>
  <si>
    <t>This part is Welded on the frame</t>
  </si>
  <si>
    <t>Steel, Mild (per kg)</t>
  </si>
  <si>
    <t>Stock for the part</t>
  </si>
  <si>
    <t>Rectangular area</t>
  </si>
  <si>
    <t xml:space="preserve">Paint </t>
  </si>
  <si>
    <t>Installation of the item 10 for laser cut</t>
  </si>
  <si>
    <t>Laser Cut</t>
  </si>
  <si>
    <t>To apply red paint</t>
  </si>
  <si>
    <t>SU_01008</t>
  </si>
  <si>
    <t>SU_01009</t>
  </si>
  <si>
    <t>SU_01010</t>
  </si>
  <si>
    <t>SU_01011</t>
  </si>
  <si>
    <t>Front up bracket</t>
  </si>
  <si>
    <t>Front down bracket</t>
  </si>
  <si>
    <t>Rear up bracket</t>
  </si>
  <si>
    <t>Rear down bracket</t>
  </si>
  <si>
    <t>Tubing cavity</t>
  </si>
  <si>
    <t>2 parts made from a single setup</t>
  </si>
  <si>
    <t>2 parts from a single setup</t>
  </si>
  <si>
    <t>Bolt, Grade 8,8 (SAE 5)</t>
  </si>
  <si>
    <t>Nut, Grade 8,8 (SAE 5)</t>
  </si>
  <si>
    <t>Washer, Grade 8,8 (SAE 5)</t>
  </si>
  <si>
    <t>Insert</t>
  </si>
  <si>
    <t>Bottom side and hole machining</t>
  </si>
  <si>
    <t>Rectangular area 64x36mm</t>
  </si>
  <si>
    <t>Main shape contouring and top side machining</t>
  </si>
  <si>
    <t>SU_02008</t>
  </si>
  <si>
    <t>Drawing :</t>
  </si>
  <si>
    <t>SU_02009</t>
  </si>
  <si>
    <t>SU_02010</t>
  </si>
  <si>
    <t>Rear Up bracket</t>
  </si>
  <si>
    <t>SU_02011</t>
  </si>
  <si>
    <t>Rectangular area 48x24 mm</t>
  </si>
  <si>
    <t>Rectangular area 68x22mm</t>
  </si>
  <si>
    <t>Rectangular area 40x22mm</t>
  </si>
  <si>
    <t>Installation item 10 for laser cut</t>
  </si>
  <si>
    <t>SU_03008</t>
  </si>
  <si>
    <t>SU_03009</t>
  </si>
  <si>
    <t>SU_03010</t>
  </si>
  <si>
    <t>SU_03011</t>
  </si>
  <si>
    <t>Main shape contouring and top of the main hole machining</t>
  </si>
  <si>
    <t>SU 04001</t>
  </si>
  <si>
    <t>Rectangular area 65x42mm</t>
  </si>
  <si>
    <t xml:space="preserve"> Aluminium</t>
  </si>
  <si>
    <t>Aluminium</t>
  </si>
  <si>
    <t>SU_04007</t>
  </si>
  <si>
    <t>SU_04008</t>
  </si>
  <si>
    <t>Rectangular area 83x22 mm</t>
  </si>
  <si>
    <t>Rectangular area 80x22 mm</t>
  </si>
  <si>
    <t>Rectangular area 31x22mm</t>
  </si>
  <si>
    <t>Rectangular area 55x22 mm</t>
  </si>
  <si>
    <t>SU 03011</t>
  </si>
  <si>
    <t>SU 03008</t>
  </si>
  <si>
    <t>SU 03009</t>
  </si>
  <si>
    <t>SU 03010</t>
  </si>
  <si>
    <t>SU 04008</t>
  </si>
  <si>
    <t>Rectangular area 50x22mm</t>
  </si>
  <si>
    <t>SU 04009</t>
  </si>
  <si>
    <t>Rectangular area 51x22mm</t>
  </si>
  <si>
    <t>Rectangular area 72x38mm</t>
  </si>
  <si>
    <t>Rectangular area 72x46mm</t>
  </si>
  <si>
    <t>SU_04009</t>
  </si>
  <si>
    <t>SU 04011</t>
  </si>
  <si>
    <t>SU 04010</t>
  </si>
  <si>
    <t>SU_04010</t>
  </si>
  <si>
    <t>SU_04011</t>
  </si>
  <si>
    <t>Front suspension</t>
  </si>
  <si>
    <t>SU A0500</t>
  </si>
  <si>
    <t>Front suspension, right and left are symetric</t>
  </si>
  <si>
    <t>Shock Front Bracket</t>
  </si>
  <si>
    <t>Damper Öhlins TTX25 MkII</t>
  </si>
  <si>
    <t>Spring</t>
  </si>
  <si>
    <t>Bushing, Student Built</t>
  </si>
  <si>
    <t>Paint</t>
  </si>
  <si>
    <t>Shock Front Bracket red paint</t>
  </si>
  <si>
    <t>Weld - Round Tubing</t>
  </si>
  <si>
    <t>Weldind shock front bracket with the frame</t>
  </si>
  <si>
    <t>Aerosol apply</t>
  </si>
  <si>
    <t>Painting the suspension mount</t>
  </si>
  <si>
    <t>Assemble, 1 kg, Loose</t>
  </si>
  <si>
    <t xml:space="preserve">Insert the spring in the damper </t>
  </si>
  <si>
    <t>Wrench &gt; 25.4 mm</t>
  </si>
  <si>
    <t>Wrench the spring in the damper</t>
  </si>
  <si>
    <t>Assemble, 1kg, Loose</t>
  </si>
  <si>
    <t>Insert the bushings in the damper extremity</t>
  </si>
  <si>
    <t>Put the damper in place</t>
  </si>
  <si>
    <t>Hand - Start Only</t>
  </si>
  <si>
    <t>Bolt damper to shock front bracket</t>
  </si>
  <si>
    <t>Put the nuts into the bolts</t>
  </si>
  <si>
    <t>Ratchet &lt;= 25.4 mm</t>
  </si>
  <si>
    <t>Thighten the M8 nuts</t>
  </si>
  <si>
    <t>Reaction tool &lt;= 25.4 mm</t>
  </si>
  <si>
    <t>Bolt,Grade 8.8 (SAE)</t>
  </si>
  <si>
    <t>Bolt Damper Öhlins TTX25 MkII on Shock Front Bracket</t>
  </si>
  <si>
    <t>Washer, Grade 8.8 (SAE 5)</t>
  </si>
  <si>
    <t>Nut, Grade 8.8 (SAE 5)</t>
  </si>
  <si>
    <t>Welding of the mounts</t>
  </si>
  <si>
    <t>Suspension bracket</t>
  </si>
  <si>
    <t>Steel, Mild</t>
  </si>
  <si>
    <t>Raw material</t>
  </si>
  <si>
    <t>circle area pi*0,0155²</t>
  </si>
  <si>
    <t>Material Removal</t>
  </si>
  <si>
    <t>Material-Steel</t>
  </si>
  <si>
    <t>Machining Setup, change</t>
  </si>
  <si>
    <t>Drilled holes &lt; 25.4 mm dia.</t>
  </si>
  <si>
    <t>SU 05001</t>
  </si>
  <si>
    <t>SU_05001</t>
  </si>
  <si>
    <t>Front Bell Cranck</t>
  </si>
  <si>
    <t>Rocker bushing</t>
  </si>
  <si>
    <t>Rocker spacer</t>
  </si>
  <si>
    <t>Sheets of metal for rocker</t>
  </si>
  <si>
    <t>Front rocker mount</t>
  </si>
  <si>
    <t>Front Bell Crank</t>
  </si>
  <si>
    <t>SU A0600</t>
  </si>
  <si>
    <t>Front rocker, right and left are symetric</t>
  </si>
  <si>
    <t>Rocker mount red paint</t>
  </si>
  <si>
    <t>Rocker black paint</t>
  </si>
  <si>
    <t>Welding the rocker mount on the chassis</t>
  </si>
  <si>
    <t>Painting the rocker mount in red</t>
  </si>
  <si>
    <t>Painting the rocker in black</t>
  </si>
  <si>
    <t xml:space="preserve">Insert 2 busher into the rocker and the rocker spacer </t>
  </si>
  <si>
    <t>Put the previous assembly in place</t>
  </si>
  <si>
    <t>Put the washers of the rocker in place</t>
  </si>
  <si>
    <t>Bolt rocker into rocker mount</t>
  </si>
  <si>
    <t>Put the nuts into the bolt</t>
  </si>
  <si>
    <t>Bolt rocker on its mount</t>
  </si>
  <si>
    <t>Welding process for rocker mount</t>
  </si>
  <si>
    <t>SU 06001</t>
  </si>
  <si>
    <t>Plastic, Flouropolymers</t>
  </si>
  <si>
    <t>Stock material for bushings</t>
  </si>
  <si>
    <t>Round area, diameter 15 mm</t>
  </si>
  <si>
    <t>Machining (turning)</t>
  </si>
  <si>
    <t>Machining removal</t>
  </si>
  <si>
    <t>Material - Plastic</t>
  </si>
  <si>
    <t>SU 06002</t>
  </si>
  <si>
    <t>Round area, diameter 14 mm</t>
  </si>
  <si>
    <t>Material - Steel</t>
  </si>
  <si>
    <t>Sheet of metal for the rocker</t>
  </si>
  <si>
    <t>SU 06003</t>
  </si>
  <si>
    <t>Material for rocker</t>
  </si>
  <si>
    <t>Rectangular sheet 125*65 mm^2</t>
  </si>
  <si>
    <t>Machining setup, install and remove</t>
  </si>
  <si>
    <t>Insert and remove parts from laser</t>
  </si>
  <si>
    <t>4 parts made from a single machine setup</t>
  </si>
  <si>
    <t>Laser cut</t>
  </si>
  <si>
    <t>Cutting the sheets</t>
  </si>
  <si>
    <t>Drawing part:</t>
  </si>
  <si>
    <t>SU_06003</t>
  </si>
  <si>
    <t>SU 06004</t>
  </si>
  <si>
    <t>Rectangular sheet 50*26 mm^2</t>
  </si>
  <si>
    <t xml:space="preserve">Machining </t>
  </si>
  <si>
    <t>Rear suspension</t>
  </si>
  <si>
    <t>SU A0700</t>
  </si>
  <si>
    <t>Rear suspension, right and left are symetric</t>
  </si>
  <si>
    <t>Shock Rear Bracket</t>
  </si>
  <si>
    <t>Shock rear Bracket red paint</t>
  </si>
  <si>
    <t>Weldind shock rear bracket with the frame</t>
  </si>
  <si>
    <t>Painting the suspension bracket</t>
  </si>
  <si>
    <t>Bolt damper to shock rear bracket</t>
  </si>
  <si>
    <t>Bolt Damper Öhlins TTX25 MkII on Shock rear Bracket</t>
  </si>
  <si>
    <t>SU 07001</t>
  </si>
  <si>
    <t>Shock rear Bracket</t>
  </si>
  <si>
    <t>SU_07001</t>
  </si>
  <si>
    <t>Rear Bell Cranck</t>
  </si>
  <si>
    <t>Rear rocker mount</t>
  </si>
  <si>
    <t>Rear Bell Crank</t>
  </si>
  <si>
    <t>SU A0800</t>
  </si>
  <si>
    <t>Rear rocker, right and left are symetric</t>
  </si>
  <si>
    <t xml:space="preserve">Insert the busher into the rocker mount </t>
  </si>
  <si>
    <t>Put each part of the rocker in place</t>
  </si>
  <si>
    <t>SU 08001</t>
  </si>
  <si>
    <t>SU 08002</t>
  </si>
  <si>
    <t>Rectangular sheet 100*65 mm^2</t>
  </si>
  <si>
    <t>SU 08003</t>
  </si>
  <si>
    <t>Rectangular sheet 58*50 mm^2</t>
  </si>
  <si>
    <t>2 parts made from a single machine setup</t>
  </si>
  <si>
    <t>SU_08002</t>
  </si>
  <si>
    <t>To tighten the bolts</t>
  </si>
  <si>
    <t>To tighten the rod ends</t>
  </si>
  <si>
    <t>Pullrod to A-arm fixing bolt</t>
  </si>
  <si>
    <t>Pullrod to rocker fixing bolt</t>
  </si>
  <si>
    <t>Bolt pullrod into the A-Arm</t>
  </si>
  <si>
    <t>Put the washers of the A-arm in place</t>
  </si>
  <si>
    <t>Put the spacers of the A-arm in place</t>
  </si>
  <si>
    <t>Bolt pullrod into the rocker</t>
  </si>
  <si>
    <t>Put the spacers of the rocker in place</t>
  </si>
  <si>
    <t>Wrench &lt;= 25.4 mm</t>
  </si>
  <si>
    <t>Screwing by hand the rod end in the pullrod insert</t>
  </si>
  <si>
    <t>Hand, Loose &lt;= 25.4 mm</t>
  </si>
  <si>
    <t>Put a nut on the rod end</t>
  </si>
  <si>
    <t>cm^2</t>
  </si>
  <si>
    <t>Glue insert to pushrod tube</t>
  </si>
  <si>
    <t>Brush apply</t>
  </si>
  <si>
    <t>Solvent degreasing  on insert</t>
  </si>
  <si>
    <t>Balls Diameter</t>
  </si>
  <si>
    <t>Left-hand rod end for pushrod extremities</t>
  </si>
  <si>
    <t>Rod End, Industrial</t>
  </si>
  <si>
    <t>Right-hand rod end for pushrod extremities</t>
  </si>
  <si>
    <t>Pullrod insert</t>
  </si>
  <si>
    <t>Pullrod tube</t>
  </si>
  <si>
    <t>Front Pullrod</t>
  </si>
  <si>
    <t>Tube lamination</t>
  </si>
  <si>
    <t>Lamination, Filament Wirring</t>
  </si>
  <si>
    <t>Round area, diameter 16x2 mm</t>
  </si>
  <si>
    <t>Stock material</t>
  </si>
  <si>
    <t>Carbon fiber, 1 Ply</t>
  </si>
  <si>
    <t>Rod End emplacement</t>
  </si>
  <si>
    <t>Tapping Holes</t>
  </si>
  <si>
    <t>Setup for machining process</t>
  </si>
  <si>
    <t>Machining setup, change</t>
  </si>
  <si>
    <t>Material removal - side view profile</t>
  </si>
  <si>
    <t>Setup for machining and removal</t>
  </si>
  <si>
    <t>Cylindrical 18 mm diameter</t>
  </si>
  <si>
    <t>Steel for machining the part</t>
  </si>
  <si>
    <t>Cylindrical 16 mm diameter</t>
  </si>
  <si>
    <t>Material for Part</t>
  </si>
  <si>
    <t>SU A0900</t>
  </si>
  <si>
    <t>SU 09001</t>
  </si>
  <si>
    <t>Tie rod insert</t>
  </si>
  <si>
    <t>Tie rod tube</t>
  </si>
  <si>
    <t>Rear tie rod, right and left are symetric</t>
  </si>
  <si>
    <t>SU 09002</t>
  </si>
  <si>
    <t>SU 09003</t>
  </si>
  <si>
    <t>SU 09004</t>
  </si>
  <si>
    <t>Welding of the mount</t>
  </si>
  <si>
    <t>SU_09002</t>
  </si>
  <si>
    <t>SU_09003</t>
  </si>
  <si>
    <t>SU_09004</t>
  </si>
  <si>
    <t>Wheels &amp; Tires</t>
  </si>
  <si>
    <t>Front Uprights</t>
  </si>
  <si>
    <t>SU A1000</t>
  </si>
  <si>
    <t>Assembly of a part of the wheel with the uprights</t>
  </si>
  <si>
    <t>Upper Arm Wedge</t>
  </si>
  <si>
    <t>Upper Arm Bracket</t>
  </si>
  <si>
    <t>Speed Sensor Brakcet</t>
  </si>
  <si>
    <t>Camber adjustment shim</t>
  </si>
  <si>
    <t>Assemble, 3kg, Interference</t>
  </si>
  <si>
    <t>Assemble upright with hub</t>
  </si>
  <si>
    <t>Assemble, 1 kg, Line-on-Line</t>
  </si>
  <si>
    <t>Assemble Upper arm wedge with upright</t>
  </si>
  <si>
    <t>Assemble camber adjustment shim with upright</t>
  </si>
  <si>
    <t>Assemble Upper arm bracket with upright</t>
  </si>
  <si>
    <t>Bolt upper arm bracket, shim and Wedge with upright</t>
  </si>
  <si>
    <t>Reaction Tool &lt;= 25.4 mm</t>
  </si>
  <si>
    <t>Assemble speed sensor bracket with upright</t>
  </si>
  <si>
    <t xml:space="preserve">Unit </t>
  </si>
  <si>
    <t>Assemble, 5kg, Line-on-Line</t>
  </si>
  <si>
    <t>Assemble upright assembly with frame</t>
  </si>
  <si>
    <t>Bolt upright assembly with front A-arms</t>
  </si>
  <si>
    <t>Suspension Setup-Independent Susp. (per corner)</t>
  </si>
  <si>
    <t>Camber and toe adjustment</t>
  </si>
  <si>
    <t>Stud, Grade 12.9</t>
  </si>
  <si>
    <t>Wheel Studs</t>
  </si>
  <si>
    <t>Front Upright</t>
  </si>
  <si>
    <t>SU 10001</t>
  </si>
  <si>
    <t>Main part of the assembly</t>
  </si>
  <si>
    <t>Aluminium, Premium</t>
  </si>
  <si>
    <t>rectangular area, 165 x 275</t>
  </si>
  <si>
    <t>Machining Setup, Install and Remove</t>
  </si>
  <si>
    <t>Setup for milling</t>
  </si>
  <si>
    <t xml:space="preserve">Milling the main part </t>
  </si>
  <si>
    <t>Change the milling setup</t>
  </si>
  <si>
    <t>Milling, remove the major part of the sole</t>
  </si>
  <si>
    <t>Milling, ending the sole, finishing the second bearing seat</t>
  </si>
  <si>
    <t>Last holes</t>
  </si>
  <si>
    <t>Milling upper slopes</t>
  </si>
  <si>
    <t>Milling lower slopes</t>
  </si>
  <si>
    <t>Milling brake side slopes</t>
  </si>
  <si>
    <t>SU 10002</t>
  </si>
  <si>
    <t>Part between the Upper arm bracket and the upright</t>
  </si>
  <si>
    <t>Aluminium, Normal</t>
  </si>
  <si>
    <t>Rectangular area, 70x45mm</t>
  </si>
  <si>
    <t>Setup for turning</t>
  </si>
  <si>
    <t>Milling</t>
  </si>
  <si>
    <t>Change the turning setup</t>
  </si>
  <si>
    <t>SU 10003</t>
  </si>
  <si>
    <t>Bracket to link the upper arm to the upright</t>
  </si>
  <si>
    <t>Steel, Alloy</t>
  </si>
  <si>
    <t>Rectangle Area, 50x70 (mm)</t>
  </si>
  <si>
    <t>Milling the main part</t>
  </si>
  <si>
    <t>Milling to remove the sole</t>
  </si>
  <si>
    <t xml:space="preserve">Milling 3 holes </t>
  </si>
  <si>
    <t>Milling, chamfer and last hole</t>
  </si>
  <si>
    <t>Speed Sensor Bracket</t>
  </si>
  <si>
    <t>SU 10004</t>
  </si>
  <si>
    <t>Bracket to maintain the speed sensor at the good position relative to the speed sensor disc</t>
  </si>
  <si>
    <t>Square area 35x40mm</t>
  </si>
  <si>
    <t>one setup for 2 pieces</t>
  </si>
  <si>
    <t>Sheet metal bends</t>
  </si>
  <si>
    <t>bend</t>
  </si>
  <si>
    <t>SU 10005</t>
  </si>
  <si>
    <t>Part to modify the static camber of a wheel</t>
  </si>
  <si>
    <t>rectangular area, 80*45mm</t>
  </si>
  <si>
    <t>SU_10001</t>
  </si>
  <si>
    <t>SU_10002</t>
  </si>
  <si>
    <t>SU_10003</t>
  </si>
  <si>
    <t>SU_10004</t>
  </si>
  <si>
    <t>SU_10005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</si>
</sst>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5">
    <numFmt numFmtId="44" formatCode="_-* #,##0.00\ &quot;€&quot;_-;\-* #,##0.00\ &quot;€&quot;_-;_-* &quot;-&quot;??\ &quot;€&quot;_-;_-@_-"/>
    <numFmt numFmtId="43" formatCode="_-* #,##0.00\ _€_-;\-* #,##0.00\ _€_-;_-* &quot;-&quot;??\ _€_-;_-@_-"/>
    <numFmt numFmtId="164" formatCode="_(* #,##0.00_);_(* \(#,##0.00\);_(* \-??_);_(@_)"/>
    <numFmt numFmtId="165" formatCode="_(\$* #,##0.00_);_(\$* \(#,##0.00\);_(\$* \-??_);_(@_)"/>
    <numFmt numFmtId="166" formatCode="\$#,##0.00_);&quot;($&quot;#,##0.00\)"/>
    <numFmt numFmtId="167" formatCode="#,##0.0000"/>
    <numFmt numFmtId="168" formatCode="_(* #,##0.000_);_(* \(#,##0.000\);_(* \-??_);_(@_)"/>
    <numFmt numFmtId="169" formatCode="_(* #,##0_);_(* \(#,##0\);_(* \-??_);_(@_)"/>
    <numFmt numFmtId="170" formatCode="_(&quot;$&quot;* #,##0.00_);_(&quot;$&quot;* \(#,##0.00\);_(&quot;$&quot;* &quot;-&quot;??_);_(@_)"/>
    <numFmt numFmtId="171" formatCode="_(* #,##0.00_);_(* \(#,##0.00\);_(* &quot;-&quot;??_);_(@_)"/>
    <numFmt numFmtId="172" formatCode="_-[$$-409]* #,##0.00_ ;_-[$$-409]* \-#,##0.00\ ;_-[$$-409]* &quot;-&quot;??_ ;_-@_ "/>
    <numFmt numFmtId="173" formatCode="0.0000"/>
    <numFmt numFmtId="174" formatCode="&quot;$&quot;#,##0.00"/>
    <numFmt numFmtId="175" formatCode="0.0"/>
    <numFmt numFmtId="176" formatCode="_-* #,##0.0000\ _€_-;\-* #,##0.0000\ _€_-;_-* &quot;-&quot;????\ _€_-;_-@_-"/>
    <numFmt numFmtId="177" formatCode="0.000"/>
    <numFmt numFmtId="178" formatCode="_-* #,##0.000000\ _€_-;\-* #,##0.000000\ _€_-;_-* &quot;-&quot;????\ _€_-;_-@_-"/>
    <numFmt numFmtId="179" formatCode="_(* #,##0.0_);_(* \(#,##0.0\);_(* \-??_);_(@_)"/>
    <numFmt numFmtId="180" formatCode="_(* #,##0.000_);_(* \(#,##0.000\);_(* &quot;-&quot;??_);_(@_)"/>
    <numFmt numFmtId="181" formatCode="0E+00"/>
    <numFmt numFmtId="182" formatCode="_-* #,##0.000\ _€_-;\-* #,##0.000\ _€_-;_-* &quot;-&quot;????\ _€_-;_-@_-"/>
    <numFmt numFmtId="183" formatCode="_(&quot;$&quot;* #,##0.00_);_(&quot;$&quot;* \(#,##0.000\);_(&quot;$&quot;* &quot;-&quot;??_);_(@_)"/>
    <numFmt numFmtId="184" formatCode="_-[$$-C09]* #,##0.00_-;\-[$$-C09]* #,##0.00_-;_-[$$-C09]* &quot;-&quot;??_-;_-@_-"/>
    <numFmt numFmtId="185" formatCode="0.00.E+00"/>
    <numFmt numFmtId="186" formatCode="_-[$$-409]* #,##0.00_ ;_-[$$-409]* \-#,##0.00,;_-[$$-409]* \-??_ ;_-@_ "/>
    <numFmt numFmtId="187" formatCode="_-* #,##0.000\ _€_-;\-* #,##0.000\ _€_-;_-* &quot;-&quot;???\ _€_-;_-@_-"/>
    <numFmt numFmtId="188" formatCode="0.00000"/>
    <numFmt numFmtId="189" formatCode="_-* #,##0.00000\ _€_-;\-* #,##0.00000\ _€_-;_-* &quot;-&quot;?????\ _€_-;_-@_-"/>
    <numFmt numFmtId="190" formatCode="_-* #,##0.000_-;\-* #,##0.000_-;_-* &quot;-&quot;??_-;_-@_-"/>
    <numFmt numFmtId="191" formatCode="#,##0.000"/>
    <numFmt numFmtId="192" formatCode="_(\$* #,##0.00_);_(\$* \(#,##0.000\);_(\$* \-??_);_(@_)"/>
    <numFmt numFmtId="193" formatCode="_-* #,##0.00000000\ _€_-;\-* #,##0.00000000\ _€_-;_-* &quot;-&quot;????????\ _€_-;_-@_-"/>
    <numFmt numFmtId="194" formatCode="0.00000000"/>
    <numFmt numFmtId="195" formatCode="_(* #,##0_);_(* \(#,##0\);_(* &quot;-&quot;??_);_(@_)"/>
    <numFmt numFmtId="196" formatCode="_-* #,##0.0000\ _€_-;\-* #,##0.0000\ _€_-;_-* &quot;-&quot;????????\ _€_-;_-@_-"/>
  </numFmts>
  <fonts count="55" x14ac:knownFonts="1">
    <font>
      <sz val="11"/>
      <color rgb="FF000000"/>
      <name val="Calibri"/>
      <family val="2"/>
      <charset val="1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name val="Calibri"/>
      <family val="2"/>
      <charset val="1"/>
    </font>
    <font>
      <sz val="11"/>
      <name val="Calibri"/>
      <family val="2"/>
      <charset val="1"/>
    </font>
    <font>
      <sz val="11"/>
      <color rgb="FF000000"/>
      <name val="Calibri"/>
      <family val="2"/>
      <charset val="1"/>
    </font>
    <font>
      <sz val="11"/>
      <color rgb="FF006100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sz val="9"/>
      <name val="Arial"/>
      <family val="2"/>
    </font>
    <font>
      <b/>
      <sz val="9"/>
      <name val="Arial"/>
      <family val="2"/>
    </font>
    <font>
      <sz val="11"/>
      <name val="Arial"/>
      <family val="2"/>
    </font>
    <font>
      <b/>
      <sz val="11"/>
      <name val="Arial"/>
      <family val="2"/>
    </font>
    <font>
      <sz val="7"/>
      <name val="Arial"/>
      <family val="2"/>
    </font>
    <font>
      <b/>
      <i/>
      <sz val="10"/>
      <name val="Arial"/>
      <family val="2"/>
    </font>
    <font>
      <sz val="11"/>
      <color indexed="8"/>
      <name val="Calibri"/>
      <family val="2"/>
    </font>
    <font>
      <b/>
      <sz val="11"/>
      <color indexed="9"/>
      <name val="Calibri"/>
      <family val="2"/>
    </font>
    <font>
      <b/>
      <sz val="11"/>
      <color theme="0"/>
      <name val="Calibri"/>
      <family val="2"/>
    </font>
    <font>
      <u/>
      <sz val="11"/>
      <color theme="10"/>
      <name val="Calibri"/>
      <family val="2"/>
      <charset val="1"/>
    </font>
    <font>
      <b/>
      <sz val="11"/>
      <color rgb="FF000000"/>
      <name val="Calibri"/>
      <family val="2"/>
    </font>
    <font>
      <b/>
      <sz val="11"/>
      <color rgb="FFFF0000"/>
      <name val="Calibri"/>
      <family val="2"/>
    </font>
    <font>
      <b/>
      <u/>
      <sz val="11"/>
      <color rgb="FF000000"/>
      <name val="Calibri"/>
      <family val="2"/>
    </font>
    <font>
      <i/>
      <sz val="11"/>
      <color rgb="FF000000"/>
      <name val="Calibri"/>
      <family val="2"/>
    </font>
    <font>
      <u/>
      <sz val="11"/>
      <color rgb="FF000000"/>
      <name val="Calibri"/>
      <family val="2"/>
    </font>
    <font>
      <sz val="11"/>
      <color rgb="FF9C6500"/>
      <name val="Calibri"/>
      <family val="2"/>
      <scheme val="minor"/>
    </font>
    <font>
      <sz val="10"/>
      <name val="MS Sans Serif"/>
    </font>
    <font>
      <sz val="11"/>
      <name val="Calibri"/>
      <family val="2"/>
    </font>
    <font>
      <sz val="11"/>
      <color indexed="17"/>
      <name val="Calibri"/>
      <family val="2"/>
    </font>
    <font>
      <sz val="10"/>
      <name val="MS Sans Serif"/>
      <family val="2"/>
    </font>
    <font>
      <sz val="10"/>
      <name val="Verdana"/>
      <family val="2"/>
    </font>
    <font>
      <sz val="11"/>
      <color rgb="FF000000"/>
      <name val="Calibri"/>
      <family val="2"/>
    </font>
    <font>
      <sz val="11"/>
      <name val="Calibri"/>
      <family val="2"/>
      <scheme val="minor"/>
    </font>
    <font>
      <sz val="10"/>
      <color indexed="8"/>
      <name val="Arial"/>
      <family val="2"/>
    </font>
    <font>
      <sz val="11"/>
      <color rgb="FF9C0006"/>
      <name val="Calibri"/>
      <family val="2"/>
      <scheme val="minor"/>
    </font>
    <font>
      <sz val="11"/>
      <color theme="1"/>
      <name val="Calibri"/>
      <family val="2"/>
      <charset val="1"/>
    </font>
    <font>
      <sz val="11"/>
      <color theme="1"/>
      <name val="Calibri"/>
      <family val="2"/>
    </font>
    <font>
      <b/>
      <sz val="11"/>
      <name val="Calibri"/>
      <family val="2"/>
      <scheme val="minor"/>
    </font>
    <font>
      <sz val="11"/>
      <color theme="1"/>
      <name val="Calibri"/>
      <family val="2"/>
      <charset val="1"/>
      <scheme val="minor"/>
    </font>
    <font>
      <b/>
      <sz val="11"/>
      <color theme="1"/>
      <name val="Calibri"/>
      <family val="2"/>
      <charset val="1"/>
      <scheme val="minor"/>
    </font>
    <font>
      <sz val="11"/>
      <color rgb="FF00000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charset val="1"/>
      <scheme val="minor"/>
    </font>
    <font>
      <b/>
      <sz val="11"/>
      <name val="Calibri"/>
      <family val="2"/>
      <charset val="1"/>
      <scheme val="minor"/>
    </font>
    <font>
      <sz val="11"/>
      <color rgb="FF000000"/>
      <name val="Calibri"/>
      <family val="2"/>
      <charset val="1"/>
      <scheme val="minor"/>
    </font>
    <font>
      <u/>
      <sz val="11"/>
      <color theme="10"/>
      <name val="Calibri"/>
      <family val="2"/>
      <charset val="1"/>
      <scheme val="minor"/>
    </font>
    <font>
      <u/>
      <sz val="11"/>
      <color theme="1"/>
      <name val="Calibri"/>
      <family val="2"/>
      <charset val="1"/>
      <scheme val="minor"/>
    </font>
    <font>
      <b/>
      <sz val="11"/>
      <color rgb="FFFF0000"/>
      <name val="Calibri"/>
      <family val="2"/>
      <charset val="1"/>
    </font>
    <font>
      <b/>
      <sz val="11"/>
      <name val="Calibri"/>
      <family val="2"/>
    </font>
  </fonts>
  <fills count="1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indexed="62"/>
        <bgColor indexed="62"/>
      </patternFill>
    </fill>
    <fill>
      <patternFill patternType="solid">
        <fgColor rgb="FF002060"/>
        <bgColor indexed="62"/>
      </patternFill>
    </fill>
    <fill>
      <patternFill patternType="solid">
        <fgColor rgb="FF66CCFF"/>
        <bgColor theme="0"/>
      </patternFill>
    </fill>
    <fill>
      <patternFill patternType="solid">
        <fgColor rgb="FF66CCFF"/>
        <bgColor indexed="44"/>
      </patternFill>
    </fill>
    <fill>
      <patternFill patternType="solid">
        <fgColor rgb="FFFFFF00"/>
        <bgColor rgb="FFFCD5B5"/>
      </patternFill>
    </fill>
    <fill>
      <patternFill patternType="solid">
        <fgColor rgb="FFFFFF66"/>
        <bgColor rgb="FFFAC090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FFEB9C"/>
      </patternFill>
    </fill>
    <fill>
      <patternFill patternType="solid">
        <fgColor indexed="42"/>
      </patternFill>
    </fill>
    <fill>
      <patternFill patternType="solid">
        <fgColor theme="0"/>
        <bgColor indexed="64"/>
      </patternFill>
    </fill>
    <fill>
      <patternFill patternType="solid">
        <fgColor rgb="FFFFC7CE"/>
      </patternFill>
    </fill>
    <fill>
      <patternFill patternType="solid">
        <fgColor rgb="FFFFFF99"/>
        <bgColor rgb="FFFCD5B5"/>
      </patternFill>
    </fill>
    <fill>
      <patternFill patternType="solid">
        <fgColor rgb="FFFFFF66"/>
        <bgColor rgb="FF000000"/>
      </patternFill>
    </fill>
    <fill>
      <patternFill patternType="solid">
        <fgColor rgb="FFFFFC00"/>
        <bgColor rgb="FFCCCCFF"/>
      </patternFill>
    </fill>
    <fill>
      <patternFill patternType="solid">
        <fgColor rgb="FFFFFF66"/>
        <bgColor rgb="FFCCCCFF"/>
      </patternFill>
    </fill>
  </fills>
  <borders count="79">
    <border>
      <left/>
      <right/>
      <top/>
      <bottom/>
      <diagonal/>
    </border>
    <border>
      <left style="thin">
        <color rgb="FFD0D7E5"/>
      </left>
      <right style="thin">
        <color rgb="FFD0D7E5"/>
      </right>
      <top style="thin">
        <color rgb="FFD0D7E5"/>
      </top>
      <bottom style="thin">
        <color rgb="FFD0D7E5"/>
      </bottom>
      <diagonal/>
    </border>
    <border>
      <left/>
      <right/>
      <top style="thin">
        <color rgb="FFFFFFFF"/>
      </top>
      <bottom style="thin">
        <color rgb="FFFFFFFF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ck">
        <color theme="0"/>
      </right>
      <top/>
      <bottom style="thick">
        <color theme="0"/>
      </bottom>
      <diagonal/>
    </border>
    <border>
      <left/>
      <right style="thick">
        <color theme="0"/>
      </right>
      <top style="thick">
        <color theme="0"/>
      </top>
      <bottom style="thick">
        <color theme="0"/>
      </bottom>
      <diagonal/>
    </border>
    <border>
      <left/>
      <right style="thick">
        <color theme="0"/>
      </right>
      <top/>
      <bottom/>
      <diagonal/>
    </border>
    <border>
      <left/>
      <right style="thick">
        <color theme="0"/>
      </right>
      <top style="dotted">
        <color theme="0"/>
      </top>
      <bottom style="medium">
        <color theme="0"/>
      </bottom>
      <diagonal/>
    </border>
    <border>
      <left style="thick">
        <color theme="0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ck">
        <color theme="0"/>
      </left>
      <right style="thin">
        <color indexed="9"/>
      </right>
      <top style="thin">
        <color theme="0"/>
      </top>
      <bottom style="thin">
        <color theme="0"/>
      </bottom>
      <diagonal/>
    </border>
    <border>
      <left style="thin">
        <color indexed="9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/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theme="1"/>
      </left>
      <right/>
      <top/>
      <bottom style="thin">
        <color auto="1"/>
      </bottom>
      <diagonal/>
    </border>
    <border>
      <left style="medium">
        <color theme="1"/>
      </left>
      <right style="thin">
        <color auto="1"/>
      </right>
      <top/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indexed="64"/>
      </left>
      <right/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medium">
        <color indexed="64"/>
      </left>
      <right style="thin">
        <color theme="1"/>
      </right>
      <top style="thin">
        <color theme="1"/>
      </top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indexed="64"/>
      </left>
      <right/>
      <top style="thin">
        <color rgb="FFFFFFFF"/>
      </top>
      <bottom style="thin">
        <color rgb="FFFFFFFF"/>
      </bottom>
      <diagonal/>
    </border>
    <border>
      <left style="medium">
        <color indexed="64"/>
      </left>
      <right/>
      <top/>
      <bottom style="thin">
        <color rgb="FFFFFFFF"/>
      </bottom>
      <diagonal/>
    </border>
    <border>
      <left/>
      <right/>
      <top/>
      <bottom style="thin">
        <color rgb="FFFFFFFF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indexed="64"/>
      </left>
      <right/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</borders>
  <cellStyleXfs count="61">
    <xf numFmtId="0" fontId="0" fillId="0" borderId="0"/>
    <xf numFmtId="0" fontId="14" fillId="0" borderId="0"/>
    <xf numFmtId="170" fontId="14" fillId="0" borderId="0" applyFont="0" applyFill="0" applyBorder="0" applyAlignment="0" applyProtection="0"/>
    <xf numFmtId="170" fontId="22" fillId="0" borderId="0" applyFont="0" applyFill="0" applyBorder="0" applyAlignment="0" applyProtection="0"/>
    <xf numFmtId="170" fontId="13" fillId="2" borderId="6">
      <alignment vertical="center" wrapText="1"/>
    </xf>
    <xf numFmtId="171" fontId="14" fillId="0" borderId="0" applyFont="0" applyFill="0" applyBorder="0" applyAlignment="0" applyProtection="0"/>
    <xf numFmtId="0" fontId="9" fillId="0" borderId="0"/>
    <xf numFmtId="166" fontId="12" fillId="0" borderId="1">
      <alignment vertical="center" wrapText="1"/>
    </xf>
    <xf numFmtId="0" fontId="25" fillId="0" borderId="0" applyNumberFormat="0" applyFill="0" applyBorder="0" applyAlignment="0" applyProtection="0"/>
    <xf numFmtId="0" fontId="32" fillId="0" borderId="0"/>
    <xf numFmtId="170" fontId="37" fillId="13" borderId="1">
      <alignment vertical="center" wrapText="1"/>
    </xf>
    <xf numFmtId="170" fontId="31" fillId="11" borderId="6">
      <alignment vertical="center" wrapText="1"/>
    </xf>
    <xf numFmtId="170" fontId="7" fillId="0" borderId="0" applyFont="0" applyFill="0" applyBorder="0" applyAlignment="0" applyProtection="0"/>
    <xf numFmtId="0" fontId="34" fillId="12" borderId="0" applyNumberFormat="0" applyBorder="0" applyAlignment="0" applyProtection="0"/>
    <xf numFmtId="170" fontId="14" fillId="0" borderId="0" applyFont="0" applyFill="0" applyBorder="0" applyAlignment="0" applyProtection="0"/>
    <xf numFmtId="0" fontId="36" fillId="0" borderId="0"/>
    <xf numFmtId="0" fontId="14" fillId="0" borderId="0"/>
    <xf numFmtId="0" fontId="36" fillId="0" borderId="0"/>
    <xf numFmtId="0" fontId="14" fillId="0" borderId="0"/>
    <xf numFmtId="0" fontId="14" fillId="0" borderId="0"/>
    <xf numFmtId="0" fontId="14" fillId="0" borderId="0"/>
    <xf numFmtId="0" fontId="7" fillId="0" borderId="0"/>
    <xf numFmtId="0" fontId="36" fillId="0" borderId="0"/>
    <xf numFmtId="0" fontId="36" fillId="0" borderId="0"/>
    <xf numFmtId="0" fontId="7" fillId="0" borderId="0"/>
    <xf numFmtId="0" fontId="7" fillId="0" borderId="0"/>
    <xf numFmtId="0" fontId="7" fillId="0" borderId="0"/>
    <xf numFmtId="0" fontId="35" fillId="0" borderId="0"/>
    <xf numFmtId="174" fontId="37" fillId="0" borderId="1">
      <alignment vertical="center" wrapText="1"/>
    </xf>
    <xf numFmtId="165" fontId="22" fillId="0" borderId="0" applyFill="0" applyBorder="0" applyAlignment="0" applyProtection="0"/>
    <xf numFmtId="0" fontId="39" fillId="0" borderId="0"/>
    <xf numFmtId="0" fontId="6" fillId="0" borderId="0"/>
    <xf numFmtId="0" fontId="5" fillId="0" borderId="0"/>
    <xf numFmtId="0" fontId="12" fillId="0" borderId="0"/>
    <xf numFmtId="0" fontId="4" fillId="0" borderId="0"/>
    <xf numFmtId="171" fontId="22" fillId="0" borderId="0" applyFont="0" applyFill="0" applyBorder="0" applyAlignment="0" applyProtection="0"/>
    <xf numFmtId="170" fontId="22" fillId="0" borderId="0" applyFont="0" applyFill="0" applyBorder="0" applyAlignment="0" applyProtection="0"/>
    <xf numFmtId="43" fontId="12" fillId="0" borderId="0" applyFont="0" applyFill="0" applyBorder="0" applyAlignment="0" applyProtection="0"/>
    <xf numFmtId="0" fontId="3" fillId="0" borderId="0"/>
    <xf numFmtId="0" fontId="3" fillId="0" borderId="0"/>
    <xf numFmtId="44" fontId="3" fillId="0" borderId="0" applyFont="0" applyFill="0" applyBorder="0" applyAlignment="0" applyProtection="0"/>
    <xf numFmtId="43" fontId="22" fillId="0" borderId="0" applyFont="0" applyFill="0" applyBorder="0" applyAlignment="0" applyProtection="0"/>
    <xf numFmtId="0" fontId="12" fillId="0" borderId="0"/>
    <xf numFmtId="170" fontId="40" fillId="14" borderId="6">
      <alignment vertical="center" wrapText="1"/>
    </xf>
    <xf numFmtId="170" fontId="3" fillId="0" borderId="0" applyFont="0" applyFill="0" applyBorder="0" applyAlignment="0" applyProtection="0"/>
    <xf numFmtId="43" fontId="12" fillId="0" borderId="0" applyFont="0" applyFill="0" applyBorder="0" applyAlignment="0" applyProtection="0"/>
    <xf numFmtId="0" fontId="2" fillId="0" borderId="0"/>
    <xf numFmtId="0" fontId="2" fillId="0" borderId="0"/>
    <xf numFmtId="0" fontId="2" fillId="0" borderId="0"/>
    <xf numFmtId="0" fontId="2" fillId="0" borderId="0"/>
    <xf numFmtId="43" fontId="12" fillId="0" borderId="0" applyFont="0" applyFill="0" applyBorder="0" applyAlignment="0" applyProtection="0"/>
    <xf numFmtId="0" fontId="1" fillId="0" borderId="0"/>
    <xf numFmtId="0" fontId="1" fillId="0" borderId="0"/>
    <xf numFmtId="0" fontId="1" fillId="0" borderId="0"/>
    <xf numFmtId="0" fontId="47" fillId="0" borderId="0" applyNumberFormat="0" applyFill="0" applyBorder="0" applyAlignment="0" applyProtection="0"/>
    <xf numFmtId="0" fontId="1" fillId="0" borderId="0"/>
    <xf numFmtId="0" fontId="1" fillId="0" borderId="0"/>
    <xf numFmtId="43" fontId="12" fillId="0" borderId="0" applyFont="0" applyFill="0" applyBorder="0" applyAlignment="0" applyProtection="0"/>
    <xf numFmtId="0" fontId="22" fillId="0" borderId="0"/>
    <xf numFmtId="0" fontId="1" fillId="0" borderId="0"/>
    <xf numFmtId="164" fontId="22" fillId="0" borderId="0" applyFill="0" applyBorder="0" applyAlignment="0" applyProtection="0"/>
  </cellStyleXfs>
  <cellXfs count="1061">
    <xf numFmtId="0" fontId="0" fillId="0" borderId="0" xfId="0"/>
    <xf numFmtId="18" fontId="18" fillId="0" borderId="7" xfId="1" applyNumberFormat="1" applyFont="1" applyFill="1" applyBorder="1" applyAlignment="1" applyProtection="1">
      <protection locked="0"/>
    </xf>
    <xf numFmtId="0" fontId="18" fillId="0" borderId="7" xfId="1" applyFont="1" applyFill="1" applyBorder="1" applyAlignment="1">
      <alignment horizontal="center"/>
    </xf>
    <xf numFmtId="171" fontId="18" fillId="0" borderId="7" xfId="5" applyFont="1" applyFill="1" applyBorder="1" applyProtection="1">
      <protection locked="0"/>
    </xf>
    <xf numFmtId="0" fontId="18" fillId="0" borderId="7" xfId="1" applyFont="1" applyFill="1" applyBorder="1" applyAlignment="1" applyProtection="1">
      <alignment horizontal="center"/>
      <protection locked="0"/>
    </xf>
    <xf numFmtId="0" fontId="18" fillId="0" borderId="7" xfId="1" applyFont="1" applyFill="1" applyBorder="1" applyProtection="1">
      <protection locked="0"/>
    </xf>
    <xf numFmtId="171" fontId="15" fillId="0" borderId="0" xfId="5" applyFont="1"/>
    <xf numFmtId="0" fontId="15" fillId="0" borderId="0" xfId="1" applyFont="1" applyProtection="1">
      <protection locked="0"/>
    </xf>
    <xf numFmtId="171" fontId="14" fillId="0" borderId="0" xfId="5" applyFont="1"/>
    <xf numFmtId="0" fontId="15" fillId="0" borderId="0" xfId="1" applyFont="1"/>
    <xf numFmtId="0" fontId="17" fillId="0" borderId="0" xfId="1" applyFont="1"/>
    <xf numFmtId="0" fontId="14" fillId="0" borderId="0" xfId="1" applyFont="1" applyProtection="1">
      <protection locked="0"/>
    </xf>
    <xf numFmtId="0" fontId="14" fillId="0" borderId="0" xfId="1" applyFont="1" applyFill="1"/>
    <xf numFmtId="0" fontId="14" fillId="0" borderId="0" xfId="1" applyFont="1"/>
    <xf numFmtId="0" fontId="9" fillId="0" borderId="0" xfId="6" applyBorder="1"/>
    <xf numFmtId="0" fontId="9" fillId="0" borderId="0" xfId="6"/>
    <xf numFmtId="0" fontId="11" fillId="0" borderId="0" xfId="0" applyFont="1" applyBorder="1"/>
    <xf numFmtId="0" fontId="0" fillId="0" borderId="0" xfId="0" applyFont="1"/>
    <xf numFmtId="0" fontId="11" fillId="0" borderId="0" xfId="0" applyFont="1" applyBorder="1" applyAlignment="1">
      <alignment horizontal="left"/>
    </xf>
    <xf numFmtId="164" fontId="11" fillId="0" borderId="3" xfId="7" applyNumberFormat="1" applyFont="1" applyBorder="1" applyAlignment="1" applyProtection="1"/>
    <xf numFmtId="0" fontId="11" fillId="0" borderId="3" xfId="0" applyFont="1" applyBorder="1" applyAlignment="1"/>
    <xf numFmtId="11" fontId="11" fillId="0" borderId="3" xfId="0" applyNumberFormat="1" applyFont="1" applyBorder="1" applyAlignment="1"/>
    <xf numFmtId="0" fontId="0" fillId="0" borderId="0" xfId="0" applyAlignment="1"/>
    <xf numFmtId="2" fontId="11" fillId="0" borderId="3" xfId="7" applyNumberFormat="1" applyFont="1" applyBorder="1" applyAlignment="1" applyProtection="1"/>
    <xf numFmtId="0" fontId="10" fillId="0" borderId="0" xfId="0" applyFont="1" applyBorder="1"/>
    <xf numFmtId="0" fontId="0" fillId="0" borderId="0" xfId="0" applyAlignment="1">
      <alignment wrapText="1"/>
    </xf>
    <xf numFmtId="0" fontId="0" fillId="0" borderId="3" xfId="0" applyBorder="1"/>
    <xf numFmtId="0" fontId="0" fillId="0" borderId="3" xfId="7" applyNumberFormat="1" applyFont="1" applyBorder="1" applyAlignment="1">
      <alignment wrapText="1"/>
    </xf>
    <xf numFmtId="49" fontId="11" fillId="0" borderId="0" xfId="0" applyNumberFormat="1" applyFont="1" applyBorder="1" applyAlignment="1">
      <alignment horizontal="left"/>
    </xf>
    <xf numFmtId="0" fontId="10" fillId="0" borderId="4" xfId="0" applyFont="1" applyBorder="1"/>
    <xf numFmtId="165" fontId="11" fillId="0" borderId="3" xfId="7" applyNumberFormat="1" applyFont="1" applyBorder="1" applyAlignment="1" applyProtection="1"/>
    <xf numFmtId="0" fontId="0" fillId="0" borderId="3" xfId="0" applyBorder="1" applyAlignment="1">
      <alignment wrapText="1"/>
    </xf>
    <xf numFmtId="165" fontId="11" fillId="0" borderId="3" xfId="7" applyNumberFormat="1" applyFont="1" applyBorder="1" applyAlignment="1" applyProtection="1">
      <alignment wrapText="1"/>
    </xf>
    <xf numFmtId="0" fontId="19" fillId="0" borderId="0" xfId="1" applyFont="1" applyAlignment="1">
      <alignment horizontal="center"/>
    </xf>
    <xf numFmtId="0" fontId="20" fillId="0" borderId="0" xfId="1" applyFont="1"/>
    <xf numFmtId="0" fontId="23" fillId="0" borderId="0" xfId="6" applyFont="1" applyFill="1" applyBorder="1"/>
    <xf numFmtId="0" fontId="9" fillId="0" borderId="0" xfId="6" applyFill="1"/>
    <xf numFmtId="0" fontId="9" fillId="0" borderId="0" xfId="6" applyFill="1" applyBorder="1"/>
    <xf numFmtId="0" fontId="9" fillId="0" borderId="0" xfId="6" applyFont="1"/>
    <xf numFmtId="0" fontId="9" fillId="0" borderId="0" xfId="6" applyFont="1" applyFill="1" applyBorder="1"/>
    <xf numFmtId="0" fontId="9" fillId="0" borderId="0" xfId="6" applyFont="1" applyFill="1"/>
    <xf numFmtId="0" fontId="18" fillId="0" borderId="7" xfId="1" applyFont="1" applyFill="1" applyBorder="1" applyAlignment="1">
      <alignment horizontal="left"/>
    </xf>
    <xf numFmtId="0" fontId="16" fillId="0" borderId="0" xfId="1" applyFont="1"/>
    <xf numFmtId="0" fontId="21" fillId="0" borderId="0" xfId="1" applyFont="1"/>
    <xf numFmtId="0" fontId="23" fillId="3" borderId="0" xfId="6" applyFont="1" applyFill="1" applyBorder="1" applyAlignment="1"/>
    <xf numFmtId="171" fontId="14" fillId="0" borderId="0" xfId="1" applyNumberFormat="1" applyFont="1"/>
    <xf numFmtId="0" fontId="19" fillId="0" borderId="8" xfId="1" applyFont="1" applyBorder="1" applyAlignment="1">
      <alignment horizontal="center" wrapText="1"/>
    </xf>
    <xf numFmtId="2" fontId="19" fillId="0" borderId="8" xfId="1" applyNumberFormat="1" applyFont="1" applyBorder="1" applyAlignment="1">
      <alignment horizontal="center" wrapText="1"/>
    </xf>
    <xf numFmtId="171" fontId="19" fillId="0" borderId="8" xfId="5" applyFont="1" applyBorder="1" applyAlignment="1">
      <alignment horizontal="center" wrapText="1"/>
    </xf>
    <xf numFmtId="0" fontId="24" fillId="4" borderId="9" xfId="6" applyFont="1" applyFill="1" applyBorder="1"/>
    <xf numFmtId="0" fontId="24" fillId="4" borderId="11" xfId="6" applyFont="1" applyFill="1" applyBorder="1"/>
    <xf numFmtId="0" fontId="24" fillId="4" borderId="10" xfId="6" applyFont="1" applyFill="1" applyBorder="1"/>
    <xf numFmtId="0" fontId="24" fillId="4" borderId="12" xfId="6" applyFont="1" applyFill="1" applyBorder="1"/>
    <xf numFmtId="0" fontId="9" fillId="5" borderId="14" xfId="6" quotePrefix="1" applyFill="1" applyBorder="1" applyAlignment="1">
      <alignment horizontal="left"/>
    </xf>
    <xf numFmtId="2" fontId="9" fillId="6" borderId="15" xfId="6" quotePrefix="1" applyNumberFormat="1" applyFill="1" applyBorder="1" applyAlignment="1">
      <alignment horizontal="right"/>
    </xf>
    <xf numFmtId="0" fontId="24" fillId="3" borderId="0" xfId="6" applyFont="1" applyFill="1" applyBorder="1" applyAlignment="1"/>
    <xf numFmtId="0" fontId="0" fillId="0" borderId="0" xfId="0" applyBorder="1"/>
    <xf numFmtId="0" fontId="0" fillId="0" borderId="0" xfId="0" applyFont="1" applyBorder="1"/>
    <xf numFmtId="0" fontId="0" fillId="0" borderId="0" xfId="0" applyBorder="1" applyAlignment="1">
      <alignment wrapText="1"/>
    </xf>
    <xf numFmtId="0" fontId="0" fillId="0" borderId="17" xfId="0" applyBorder="1"/>
    <xf numFmtId="0" fontId="0" fillId="0" borderId="18" xfId="0" applyBorder="1"/>
    <xf numFmtId="0" fontId="0" fillId="0" borderId="19" xfId="0" applyBorder="1"/>
    <xf numFmtId="0" fontId="0" fillId="0" borderId="20" xfId="0" applyBorder="1"/>
    <xf numFmtId="0" fontId="0" fillId="0" borderId="21" xfId="0" applyBorder="1"/>
    <xf numFmtId="0" fontId="11" fillId="0" borderId="20" xfId="7" applyNumberFormat="1" applyFont="1" applyBorder="1" applyAlignment="1"/>
    <xf numFmtId="0" fontId="0" fillId="0" borderId="20" xfId="0" applyFont="1" applyBorder="1"/>
    <xf numFmtId="0" fontId="0" fillId="0" borderId="20" xfId="0" applyBorder="1" applyAlignment="1"/>
    <xf numFmtId="0" fontId="10" fillId="0" borderId="21" xfId="0" applyFont="1" applyBorder="1"/>
    <xf numFmtId="0" fontId="0" fillId="0" borderId="20" xfId="0" applyBorder="1" applyAlignment="1">
      <alignment wrapText="1"/>
    </xf>
    <xf numFmtId="0" fontId="0" fillId="0" borderId="23" xfId="0" applyBorder="1"/>
    <xf numFmtId="0" fontId="0" fillId="0" borderId="24" xfId="0" applyBorder="1"/>
    <xf numFmtId="0" fontId="0" fillId="0" borderId="25" xfId="0" applyBorder="1"/>
    <xf numFmtId="0" fontId="11" fillId="0" borderId="16" xfId="0" applyFont="1" applyBorder="1"/>
    <xf numFmtId="0" fontId="11" fillId="0" borderId="16" xfId="7" applyNumberFormat="1" applyFont="1" applyBorder="1" applyAlignment="1" applyProtection="1"/>
    <xf numFmtId="165" fontId="11" fillId="0" borderId="16" xfId="7" applyNumberFormat="1" applyFont="1" applyBorder="1" applyAlignment="1" applyProtection="1"/>
    <xf numFmtId="164" fontId="11" fillId="0" borderId="16" xfId="7" applyNumberFormat="1" applyFont="1" applyBorder="1" applyAlignment="1" applyProtection="1"/>
    <xf numFmtId="11" fontId="11" fillId="0" borderId="16" xfId="0" applyNumberFormat="1" applyFont="1" applyBorder="1"/>
    <xf numFmtId="167" fontId="11" fillId="0" borderId="16" xfId="7" applyNumberFormat="1" applyFont="1" applyBorder="1" applyAlignment="1" applyProtection="1"/>
    <xf numFmtId="168" fontId="11" fillId="0" borderId="16" xfId="7" applyNumberFormat="1" applyFont="1" applyBorder="1" applyAlignment="1" applyProtection="1"/>
    <xf numFmtId="0" fontId="0" fillId="0" borderId="16" xfId="0" applyBorder="1" applyAlignment="1"/>
    <xf numFmtId="2" fontId="11" fillId="0" borderId="16" xfId="7" applyNumberFormat="1" applyFont="1" applyBorder="1" applyAlignment="1" applyProtection="1"/>
    <xf numFmtId="169" fontId="11" fillId="0" borderId="16" xfId="7" applyNumberFormat="1" applyFont="1" applyBorder="1" applyAlignment="1" applyProtection="1"/>
    <xf numFmtId="37" fontId="11" fillId="0" borderId="16" xfId="7" applyNumberFormat="1" applyFont="1" applyBorder="1" applyAlignment="1" applyProtection="1"/>
    <xf numFmtId="0" fontId="11" fillId="0" borderId="16" xfId="0" applyFont="1" applyBorder="1" applyAlignment="1">
      <alignment horizontal="right"/>
    </xf>
    <xf numFmtId="0" fontId="10" fillId="0" borderId="26" xfId="0" applyFont="1" applyBorder="1"/>
    <xf numFmtId="0" fontId="11" fillId="0" borderId="22" xfId="0" applyFont="1" applyBorder="1" applyAlignment="1"/>
    <xf numFmtId="0" fontId="25" fillId="0" borderId="16" xfId="8" applyNumberFormat="1" applyBorder="1" applyAlignment="1" applyProtection="1"/>
    <xf numFmtId="0" fontId="26" fillId="0" borderId="0" xfId="0" applyFont="1"/>
    <xf numFmtId="0" fontId="25" fillId="0" borderId="0" xfId="8" applyBorder="1"/>
    <xf numFmtId="0" fontId="25" fillId="0" borderId="0" xfId="8"/>
    <xf numFmtId="0" fontId="28" fillId="0" borderId="0" xfId="0" applyFont="1"/>
    <xf numFmtId="0" fontId="29" fillId="0" borderId="0" xfId="0" applyFont="1"/>
    <xf numFmtId="0" fontId="9" fillId="5" borderId="14" xfId="6" quotePrefix="1" applyFont="1" applyFill="1" applyBorder="1" applyAlignment="1">
      <alignment horizontal="left"/>
    </xf>
    <xf numFmtId="0" fontId="8" fillId="5" borderId="14" xfId="6" applyFont="1" applyFill="1" applyBorder="1"/>
    <xf numFmtId="0" fontId="8" fillId="5" borderId="13" xfId="6" applyFont="1" applyFill="1" applyBorder="1"/>
    <xf numFmtId="172" fontId="11" fillId="0" borderId="16" xfId="7" applyNumberFormat="1" applyFont="1" applyBorder="1" applyAlignment="1" applyProtection="1"/>
    <xf numFmtId="172" fontId="18" fillId="0" borderId="7" xfId="1" applyNumberFormat="1" applyFont="1" applyFill="1" applyBorder="1" applyAlignment="1">
      <alignment horizontal="right"/>
    </xf>
    <xf numFmtId="173" fontId="11" fillId="0" borderId="16" xfId="7" applyNumberFormat="1" applyFont="1" applyBorder="1" applyAlignment="1" applyProtection="1"/>
    <xf numFmtId="0" fontId="10" fillId="7" borderId="16" xfId="0" applyFont="1" applyFill="1" applyBorder="1"/>
    <xf numFmtId="0" fontId="10" fillId="7" borderId="0" xfId="0" applyFont="1" applyFill="1" applyBorder="1"/>
    <xf numFmtId="165" fontId="10" fillId="7" borderId="16" xfId="0" applyNumberFormat="1" applyFont="1" applyFill="1" applyBorder="1"/>
    <xf numFmtId="0" fontId="10" fillId="7" borderId="16" xfId="0" applyFont="1" applyFill="1" applyBorder="1" applyAlignment="1">
      <alignment horizontal="right"/>
    </xf>
    <xf numFmtId="0" fontId="10" fillId="8" borderId="16" xfId="0" applyFont="1" applyFill="1" applyBorder="1"/>
    <xf numFmtId="0" fontId="10" fillId="8" borderId="16" xfId="0" applyFont="1" applyFill="1" applyBorder="1" applyAlignment="1">
      <alignment horizontal="left"/>
    </xf>
    <xf numFmtId="0" fontId="10" fillId="8" borderId="2" xfId="0" applyFont="1" applyFill="1" applyBorder="1"/>
    <xf numFmtId="0" fontId="10" fillId="8" borderId="27" xfId="0" applyFont="1" applyFill="1" applyBorder="1"/>
    <xf numFmtId="0" fontId="10" fillId="8" borderId="5" xfId="0" applyFont="1" applyFill="1" applyBorder="1"/>
    <xf numFmtId="0" fontId="10" fillId="8" borderId="3" xfId="0" applyFont="1" applyFill="1" applyBorder="1"/>
    <xf numFmtId="0" fontId="10" fillId="8" borderId="3" xfId="0" applyFont="1" applyFill="1" applyBorder="1" applyAlignment="1">
      <alignment horizontal="right"/>
    </xf>
    <xf numFmtId="165" fontId="10" fillId="8" borderId="5" xfId="0" applyNumberFormat="1" applyFont="1" applyFill="1" applyBorder="1"/>
    <xf numFmtId="0" fontId="10" fillId="8" borderId="22" xfId="0" applyFont="1" applyFill="1" applyBorder="1"/>
    <xf numFmtId="0" fontId="10" fillId="8" borderId="5" xfId="0" applyFont="1" applyFill="1" applyBorder="1" applyAlignment="1">
      <alignment horizontal="right"/>
    </xf>
    <xf numFmtId="0" fontId="18" fillId="9" borderId="3" xfId="1" applyFont="1" applyFill="1" applyBorder="1" applyProtection="1">
      <protection locked="0"/>
    </xf>
    <xf numFmtId="0" fontId="18" fillId="9" borderId="3" xfId="1" applyFont="1" applyFill="1" applyBorder="1" applyAlignment="1">
      <alignment horizontal="left"/>
    </xf>
    <xf numFmtId="18" fontId="18" fillId="9" borderId="3" xfId="1" applyNumberFormat="1" applyFont="1" applyFill="1" applyBorder="1" applyAlignment="1" applyProtection="1">
      <protection locked="0"/>
    </xf>
    <xf numFmtId="172" fontId="18" fillId="9" borderId="3" xfId="5" applyNumberFormat="1" applyFont="1" applyFill="1" applyBorder="1" applyProtection="1">
      <protection locked="0"/>
    </xf>
    <xf numFmtId="172" fontId="18" fillId="9" borderId="3" xfId="1" applyNumberFormat="1" applyFont="1" applyFill="1" applyBorder="1" applyAlignment="1" applyProtection="1">
      <alignment horizontal="center"/>
      <protection locked="0"/>
    </xf>
    <xf numFmtId="172" fontId="18" fillId="9" borderId="3" xfId="1" applyNumberFormat="1" applyFont="1" applyFill="1" applyBorder="1" applyAlignment="1">
      <alignment horizontal="right"/>
    </xf>
    <xf numFmtId="0" fontId="18" fillId="9" borderId="3" xfId="1" applyFont="1" applyFill="1" applyBorder="1" applyAlignment="1">
      <alignment horizontal="center"/>
    </xf>
    <xf numFmtId="0" fontId="18" fillId="10" borderId="3" xfId="1" applyFont="1" applyFill="1" applyBorder="1" applyProtection="1">
      <protection locked="0"/>
    </xf>
    <xf numFmtId="18" fontId="18" fillId="10" borderId="3" xfId="1" applyNumberFormat="1" applyFont="1" applyFill="1" applyBorder="1" applyAlignment="1" applyProtection="1">
      <protection locked="0"/>
    </xf>
    <xf numFmtId="0" fontId="25" fillId="10" borderId="3" xfId="8" applyFill="1" applyBorder="1" applyAlignment="1">
      <alignment horizontal="left"/>
    </xf>
    <xf numFmtId="172" fontId="18" fillId="10" borderId="3" xfId="5" applyNumberFormat="1" applyFont="1" applyFill="1" applyBorder="1" applyProtection="1">
      <protection locked="0"/>
    </xf>
    <xf numFmtId="172" fontId="18" fillId="10" borderId="3" xfId="1" applyNumberFormat="1" applyFont="1" applyFill="1" applyBorder="1" applyAlignment="1" applyProtection="1">
      <alignment horizontal="center"/>
      <protection locked="0"/>
    </xf>
    <xf numFmtId="172" fontId="18" fillId="10" borderId="3" xfId="1" applyNumberFormat="1" applyFont="1" applyFill="1" applyBorder="1" applyAlignment="1">
      <alignment horizontal="right"/>
    </xf>
    <xf numFmtId="0" fontId="18" fillId="10" borderId="3" xfId="1" applyFont="1" applyFill="1" applyBorder="1" applyAlignment="1">
      <alignment horizontal="center"/>
    </xf>
    <xf numFmtId="0" fontId="18" fillId="10" borderId="3" xfId="1" applyFont="1" applyFill="1" applyBorder="1" applyAlignment="1" applyProtection="1">
      <alignment horizontal="center"/>
      <protection locked="0"/>
    </xf>
    <xf numFmtId="170" fontId="38" fillId="0" borderId="0" xfId="11" applyFont="1" applyFill="1" applyBorder="1">
      <alignment vertical="center" wrapText="1"/>
    </xf>
    <xf numFmtId="0" fontId="11" fillId="0" borderId="16" xfId="0" applyNumberFormat="1" applyFont="1" applyBorder="1"/>
    <xf numFmtId="165" fontId="33" fillId="0" borderId="28" xfId="29" applyFont="1" applyFill="1" applyBorder="1" applyAlignment="1" applyProtection="1"/>
    <xf numFmtId="39" fontId="33" fillId="0" borderId="28" xfId="29" applyNumberFormat="1" applyFont="1" applyFill="1" applyBorder="1" applyAlignment="1" applyProtection="1"/>
    <xf numFmtId="37" fontId="33" fillId="0" borderId="30" xfId="29" applyNumberFormat="1" applyFont="1" applyFill="1" applyBorder="1" applyAlignment="1" applyProtection="1"/>
    <xf numFmtId="165" fontId="33" fillId="0" borderId="30" xfId="29" applyFont="1" applyFill="1" applyBorder="1" applyAlignment="1" applyProtection="1"/>
    <xf numFmtId="37" fontId="33" fillId="0" borderId="28" xfId="29" applyNumberFormat="1" applyFont="1" applyFill="1" applyBorder="1" applyAlignment="1" applyProtection="1"/>
    <xf numFmtId="0" fontId="22" fillId="0" borderId="6" xfId="30" applyFont="1" applyFill="1" applyBorder="1" applyAlignment="1">
      <alignment wrapText="1"/>
    </xf>
    <xf numFmtId="176" fontId="0" fillId="0" borderId="0" xfId="0" applyNumberFormat="1"/>
    <xf numFmtId="176" fontId="0" fillId="0" borderId="0" xfId="0" applyNumberFormat="1" applyFont="1"/>
    <xf numFmtId="176" fontId="0" fillId="0" borderId="0" xfId="0" applyNumberFormat="1" applyAlignment="1">
      <alignment wrapText="1"/>
    </xf>
    <xf numFmtId="0" fontId="0" fillId="10" borderId="0" xfId="0" applyFill="1"/>
    <xf numFmtId="0" fontId="33" fillId="0" borderId="28" xfId="31" applyFont="1" applyFill="1" applyBorder="1"/>
    <xf numFmtId="0" fontId="33" fillId="0" borderId="28" xfId="31" applyNumberFormat="1" applyFont="1" applyFill="1" applyBorder="1"/>
    <xf numFmtId="0" fontId="33" fillId="0" borderId="29" xfId="31" applyFont="1" applyFill="1" applyBorder="1"/>
    <xf numFmtId="4" fontId="33" fillId="0" borderId="28" xfId="31" applyNumberFormat="1" applyFont="1" applyFill="1" applyBorder="1"/>
    <xf numFmtId="2" fontId="33" fillId="0" borderId="28" xfId="31" applyNumberFormat="1" applyFont="1" applyFill="1" applyBorder="1"/>
    <xf numFmtId="18" fontId="25" fillId="9" borderId="3" xfId="8" applyNumberFormat="1" applyFill="1" applyBorder="1" applyAlignment="1" applyProtection="1">
      <protection locked="0"/>
    </xf>
    <xf numFmtId="0" fontId="33" fillId="0" borderId="3" xfId="9" applyFont="1" applyFill="1" applyBorder="1" applyAlignment="1" applyProtection="1">
      <alignment wrapText="1"/>
    </xf>
    <xf numFmtId="0" fontId="33" fillId="0" borderId="3" xfId="9" applyFont="1" applyFill="1" applyBorder="1" applyAlignment="1">
      <alignment horizontal="left" wrapText="1"/>
    </xf>
    <xf numFmtId="1" fontId="11" fillId="0" borderId="3" xfId="7" applyNumberFormat="1" applyFont="1" applyBorder="1" applyAlignment="1" applyProtection="1"/>
    <xf numFmtId="178" fontId="11" fillId="0" borderId="3" xfId="0" applyNumberFormat="1" applyFont="1" applyBorder="1" applyAlignment="1"/>
    <xf numFmtId="170" fontId="38" fillId="0" borderId="3" xfId="11" applyNumberFormat="1" applyFont="1" applyFill="1" applyBorder="1">
      <alignment vertical="center" wrapText="1"/>
    </xf>
    <xf numFmtId="165" fontId="11" fillId="0" borderId="31" xfId="7" applyNumberFormat="1" applyFont="1" applyBorder="1" applyAlignment="1" applyProtection="1"/>
    <xf numFmtId="0" fontId="18" fillId="9" borderId="3" xfId="1" applyFont="1" applyFill="1" applyBorder="1" applyAlignment="1" applyProtection="1">
      <alignment horizontal="center"/>
      <protection locked="0"/>
    </xf>
    <xf numFmtId="0" fontId="12" fillId="0" borderId="17" xfId="33" applyBorder="1"/>
    <xf numFmtId="0" fontId="12" fillId="0" borderId="18" xfId="33" applyBorder="1"/>
    <xf numFmtId="0" fontId="12" fillId="0" borderId="19" xfId="33" applyBorder="1"/>
    <xf numFmtId="0" fontId="12" fillId="0" borderId="0" xfId="33"/>
    <xf numFmtId="0" fontId="10" fillId="7" borderId="16" xfId="33" applyFont="1" applyFill="1" applyBorder="1"/>
    <xf numFmtId="0" fontId="11" fillId="0" borderId="0" xfId="33" applyFont="1" applyBorder="1"/>
    <xf numFmtId="0" fontId="12" fillId="0" borderId="0" xfId="33" applyBorder="1"/>
    <xf numFmtId="0" fontId="11" fillId="0" borderId="16" xfId="33" applyFont="1" applyBorder="1" applyAlignment="1">
      <alignment horizontal="right"/>
    </xf>
    <xf numFmtId="0" fontId="12" fillId="0" borderId="20" xfId="33" applyBorder="1"/>
    <xf numFmtId="0" fontId="12" fillId="0" borderId="0" xfId="33" applyFont="1" applyBorder="1"/>
    <xf numFmtId="0" fontId="10" fillId="7" borderId="0" xfId="33" applyFont="1" applyFill="1" applyBorder="1"/>
    <xf numFmtId="0" fontId="11" fillId="0" borderId="0" xfId="33" applyFont="1" applyBorder="1" applyAlignment="1">
      <alignment horizontal="left"/>
    </xf>
    <xf numFmtId="0" fontId="12" fillId="0" borderId="21" xfId="33" applyBorder="1"/>
    <xf numFmtId="0" fontId="11" fillId="0" borderId="16" xfId="33" applyFont="1" applyBorder="1"/>
    <xf numFmtId="0" fontId="11" fillId="0" borderId="16" xfId="33" applyNumberFormat="1" applyFont="1" applyBorder="1"/>
    <xf numFmtId="0" fontId="12" fillId="0" borderId="0" xfId="33" applyFont="1"/>
    <xf numFmtId="0" fontId="12" fillId="0" borderId="20" xfId="33" applyFont="1" applyBorder="1"/>
    <xf numFmtId="0" fontId="10" fillId="7" borderId="16" xfId="33" applyFont="1" applyFill="1" applyBorder="1" applyAlignment="1">
      <alignment horizontal="right"/>
    </xf>
    <xf numFmtId="165" fontId="10" fillId="7" borderId="16" xfId="33" applyNumberFormat="1" applyFont="1" applyFill="1" applyBorder="1"/>
    <xf numFmtId="11" fontId="11" fillId="0" borderId="16" xfId="33" applyNumberFormat="1" applyFont="1" applyBorder="1"/>
    <xf numFmtId="0" fontId="33" fillId="0" borderId="28" xfId="34" applyFont="1" applyFill="1" applyBorder="1"/>
    <xf numFmtId="0" fontId="33" fillId="0" borderId="28" xfId="34" applyFont="1" applyFill="1" applyBorder="1" applyAlignment="1">
      <alignment wrapText="1"/>
    </xf>
    <xf numFmtId="0" fontId="11" fillId="0" borderId="16" xfId="33" applyFont="1" applyBorder="1" applyAlignment="1"/>
    <xf numFmtId="11" fontId="11" fillId="0" borderId="16" xfId="33" applyNumberFormat="1" applyFont="1" applyBorder="1" applyAlignment="1"/>
    <xf numFmtId="0" fontId="12" fillId="0" borderId="16" xfId="33" applyBorder="1" applyAlignment="1"/>
    <xf numFmtId="0" fontId="12" fillId="0" borderId="20" xfId="33" applyBorder="1" applyAlignment="1"/>
    <xf numFmtId="0" fontId="12" fillId="0" borderId="0" xfId="33" applyAlignment="1"/>
    <xf numFmtId="0" fontId="10" fillId="0" borderId="21" xfId="33" applyFont="1" applyBorder="1"/>
    <xf numFmtId="0" fontId="10" fillId="0" borderId="0" xfId="33" applyFont="1" applyBorder="1"/>
    <xf numFmtId="0" fontId="12" fillId="0" borderId="20" xfId="33" applyBorder="1" applyAlignment="1">
      <alignment wrapText="1"/>
    </xf>
    <xf numFmtId="0" fontId="12" fillId="0" borderId="0" xfId="33" applyAlignment="1">
      <alignment wrapText="1"/>
    </xf>
    <xf numFmtId="0" fontId="33" fillId="0" borderId="28" xfId="34" applyNumberFormat="1" applyFont="1" applyFill="1" applyBorder="1"/>
    <xf numFmtId="0" fontId="32" fillId="0" borderId="0" xfId="9"/>
    <xf numFmtId="4" fontId="33" fillId="0" borderId="28" xfId="34" applyNumberFormat="1" applyFont="1" applyFill="1" applyBorder="1"/>
    <xf numFmtId="0" fontId="22" fillId="0" borderId="28" xfId="34" applyFont="1" applyFill="1" applyBorder="1"/>
    <xf numFmtId="2" fontId="33" fillId="0" borderId="28" xfId="34" applyNumberFormat="1" applyFont="1" applyFill="1" applyBorder="1"/>
    <xf numFmtId="0" fontId="12" fillId="0" borderId="0" xfId="33" applyBorder="1" applyAlignment="1">
      <alignment wrapText="1"/>
    </xf>
    <xf numFmtId="0" fontId="12" fillId="0" borderId="23" xfId="33" applyBorder="1"/>
    <xf numFmtId="0" fontId="12" fillId="0" borderId="24" xfId="33" applyBorder="1"/>
    <xf numFmtId="0" fontId="12" fillId="0" borderId="25" xfId="33" applyBorder="1"/>
    <xf numFmtId="0" fontId="10" fillId="8" borderId="16" xfId="33" applyFont="1" applyFill="1" applyBorder="1"/>
    <xf numFmtId="0" fontId="10" fillId="8" borderId="16" xfId="33" applyFont="1" applyFill="1" applyBorder="1" applyAlignment="1">
      <alignment horizontal="left"/>
    </xf>
    <xf numFmtId="0" fontId="10" fillId="8" borderId="2" xfId="33" applyFont="1" applyFill="1" applyBorder="1"/>
    <xf numFmtId="49" fontId="11" fillId="0" borderId="0" xfId="33" applyNumberFormat="1" applyFont="1" applyBorder="1" applyAlignment="1">
      <alignment horizontal="left"/>
    </xf>
    <xf numFmtId="0" fontId="10" fillId="0" borderId="26" xfId="33" applyFont="1" applyBorder="1"/>
    <xf numFmtId="0" fontId="10" fillId="0" borderId="4" xfId="33" applyFont="1" applyBorder="1"/>
    <xf numFmtId="0" fontId="10" fillId="8" borderId="27" xfId="33" applyFont="1" applyFill="1" applyBorder="1"/>
    <xf numFmtId="0" fontId="10" fillId="8" borderId="5" xfId="33" applyFont="1" applyFill="1" applyBorder="1"/>
    <xf numFmtId="0" fontId="10" fillId="8" borderId="3" xfId="33" applyFont="1" applyFill="1" applyBorder="1"/>
    <xf numFmtId="0" fontId="11" fillId="0" borderId="22" xfId="33" applyFont="1" applyBorder="1" applyAlignment="1"/>
    <xf numFmtId="0" fontId="12" fillId="0" borderId="3" xfId="33" applyBorder="1"/>
    <xf numFmtId="0" fontId="11" fillId="0" borderId="3" xfId="33" applyFont="1" applyBorder="1" applyAlignment="1"/>
    <xf numFmtId="11" fontId="11" fillId="0" borderId="3" xfId="33" applyNumberFormat="1" applyFont="1" applyBorder="1" applyAlignment="1"/>
    <xf numFmtId="0" fontId="10" fillId="8" borderId="3" xfId="33" applyFont="1" applyFill="1" applyBorder="1" applyAlignment="1">
      <alignment horizontal="right"/>
    </xf>
    <xf numFmtId="165" fontId="10" fillId="8" borderId="5" xfId="33" applyNumberFormat="1" applyFont="1" applyFill="1" applyBorder="1"/>
    <xf numFmtId="176" fontId="12" fillId="0" borderId="0" xfId="33" applyNumberFormat="1"/>
    <xf numFmtId="0" fontId="10" fillId="8" borderId="22" xfId="33" applyFont="1" applyFill="1" applyBorder="1"/>
    <xf numFmtId="0" fontId="12" fillId="0" borderId="22" xfId="33" applyBorder="1" applyAlignment="1">
      <alignment wrapText="1"/>
    </xf>
    <xf numFmtId="0" fontId="12" fillId="0" borderId="3" xfId="33" applyBorder="1" applyAlignment="1">
      <alignment wrapText="1"/>
    </xf>
    <xf numFmtId="0" fontId="11" fillId="0" borderId="22" xfId="33" applyFont="1" applyBorder="1"/>
    <xf numFmtId="0" fontId="11" fillId="0" borderId="3" xfId="33" applyFont="1" applyBorder="1"/>
    <xf numFmtId="0" fontId="12" fillId="0" borderId="22" xfId="33" applyBorder="1"/>
    <xf numFmtId="0" fontId="10" fillId="8" borderId="5" xfId="33" applyFont="1" applyFill="1" applyBorder="1" applyAlignment="1">
      <alignment horizontal="right"/>
    </xf>
    <xf numFmtId="0" fontId="10" fillId="8" borderId="31" xfId="33" applyFont="1" applyFill="1" applyBorder="1"/>
    <xf numFmtId="0" fontId="11" fillId="0" borderId="32" xfId="7" applyNumberFormat="1" applyFont="1" applyBorder="1" applyAlignment="1" applyProtection="1"/>
    <xf numFmtId="176" fontId="11" fillId="0" borderId="3" xfId="33" applyNumberFormat="1" applyFont="1" applyBorder="1" applyAlignment="1"/>
    <xf numFmtId="0" fontId="11" fillId="0" borderId="3" xfId="33" applyNumberFormat="1" applyFont="1" applyBorder="1"/>
    <xf numFmtId="0" fontId="12" fillId="10" borderId="0" xfId="33" applyFill="1"/>
    <xf numFmtId="49" fontId="25" fillId="0" borderId="0" xfId="8" applyNumberFormat="1"/>
    <xf numFmtId="0" fontId="32" fillId="0" borderId="3" xfId="9" applyBorder="1"/>
    <xf numFmtId="0" fontId="33" fillId="0" borderId="3" xfId="30" applyFont="1" applyFill="1" applyBorder="1" applyAlignment="1">
      <alignment wrapText="1"/>
    </xf>
    <xf numFmtId="170" fontId="33" fillId="0" borderId="3" xfId="3" applyFont="1" applyFill="1" applyBorder="1"/>
    <xf numFmtId="170" fontId="33" fillId="0" borderId="3" xfId="3" applyNumberFormat="1" applyFont="1" applyFill="1" applyBorder="1" applyAlignment="1"/>
    <xf numFmtId="177" fontId="33" fillId="0" borderId="3" xfId="9" applyNumberFormat="1" applyFont="1" applyFill="1" applyBorder="1" applyAlignment="1">
      <alignment horizontal="right" wrapText="1"/>
    </xf>
    <xf numFmtId="0" fontId="33" fillId="0" borderId="3" xfId="9" applyFont="1" applyFill="1" applyBorder="1"/>
    <xf numFmtId="0" fontId="33" fillId="0" borderId="3" xfId="9" applyFont="1" applyFill="1" applyBorder="1" applyAlignment="1">
      <alignment wrapText="1"/>
    </xf>
    <xf numFmtId="0" fontId="10" fillId="0" borderId="0" xfId="9" applyFont="1" applyBorder="1"/>
    <xf numFmtId="0" fontId="32" fillId="0" borderId="20" xfId="9" applyBorder="1" applyAlignment="1">
      <alignment wrapText="1"/>
    </xf>
    <xf numFmtId="0" fontId="32" fillId="0" borderId="0" xfId="9" applyBorder="1"/>
    <xf numFmtId="0" fontId="32" fillId="0" borderId="20" xfId="9" applyBorder="1"/>
    <xf numFmtId="0" fontId="33" fillId="0" borderId="3" xfId="9" applyNumberFormat="1" applyFont="1" applyFill="1" applyBorder="1" applyAlignment="1">
      <alignment wrapText="1"/>
    </xf>
    <xf numFmtId="0" fontId="12" fillId="0" borderId="0" xfId="9" applyFont="1" applyBorder="1"/>
    <xf numFmtId="0" fontId="12" fillId="0" borderId="20" xfId="9" applyFont="1" applyBorder="1"/>
    <xf numFmtId="0" fontId="33" fillId="0" borderId="6" xfId="30" applyFont="1" applyFill="1" applyBorder="1" applyAlignment="1">
      <alignment wrapText="1"/>
    </xf>
    <xf numFmtId="0" fontId="32" fillId="0" borderId="0" xfId="9" applyAlignment="1">
      <alignment wrapText="1"/>
    </xf>
    <xf numFmtId="0" fontId="38" fillId="0" borderId="3" xfId="9" applyFont="1" applyBorder="1"/>
    <xf numFmtId="0" fontId="11" fillId="0" borderId="33" xfId="0" applyFont="1" applyBorder="1"/>
    <xf numFmtId="0" fontId="33" fillId="0" borderId="29" xfId="31" applyFont="1" applyFill="1" applyBorder="1" applyAlignment="1">
      <alignment wrapText="1"/>
    </xf>
    <xf numFmtId="165" fontId="11" fillId="0" borderId="33" xfId="7" applyNumberFormat="1" applyFont="1" applyBorder="1" applyAlignment="1" applyProtection="1"/>
    <xf numFmtId="164" fontId="11" fillId="0" borderId="33" xfId="7" applyNumberFormat="1" applyFont="1" applyBorder="1" applyAlignment="1" applyProtection="1"/>
    <xf numFmtId="2" fontId="11" fillId="0" borderId="33" xfId="7" applyNumberFormat="1" applyFont="1" applyBorder="1" applyAlignment="1" applyProtection="1"/>
    <xf numFmtId="0" fontId="0" fillId="0" borderId="33" xfId="0" applyBorder="1" applyAlignment="1"/>
    <xf numFmtId="165" fontId="10" fillId="7" borderId="34" xfId="0" applyNumberFormat="1" applyFont="1" applyFill="1" applyBorder="1"/>
    <xf numFmtId="0" fontId="10" fillId="7" borderId="36" xfId="0" applyFont="1" applyFill="1" applyBorder="1"/>
    <xf numFmtId="0" fontId="42" fillId="0" borderId="28" xfId="31" applyFont="1" applyFill="1" applyBorder="1"/>
    <xf numFmtId="0" fontId="10" fillId="15" borderId="16" xfId="9" applyFont="1" applyFill="1" applyBorder="1"/>
    <xf numFmtId="170" fontId="33" fillId="0" borderId="3" xfId="36" applyFont="1" applyFill="1" applyBorder="1"/>
    <xf numFmtId="170" fontId="33" fillId="0" borderId="3" xfId="36" applyNumberFormat="1" applyFont="1" applyFill="1" applyBorder="1"/>
    <xf numFmtId="0" fontId="10" fillId="0" borderId="21" xfId="9" applyFont="1" applyBorder="1"/>
    <xf numFmtId="165" fontId="10" fillId="7" borderId="34" xfId="9" applyNumberFormat="1" applyFont="1" applyFill="1" applyBorder="1"/>
    <xf numFmtId="0" fontId="10" fillId="7" borderId="34" xfId="9" applyFont="1" applyFill="1" applyBorder="1" applyAlignment="1">
      <alignment horizontal="right"/>
    </xf>
    <xf numFmtId="11" fontId="11" fillId="0" borderId="16" xfId="7" applyNumberFormat="1" applyFont="1" applyBorder="1" applyAlignment="1" applyProtection="1"/>
    <xf numFmtId="0" fontId="11" fillId="0" borderId="3" xfId="9" applyFont="1" applyBorder="1" applyAlignment="1">
      <alignment wrapText="1"/>
    </xf>
    <xf numFmtId="0" fontId="11" fillId="0" borderId="3" xfId="30" applyFont="1" applyFill="1" applyBorder="1" applyAlignment="1">
      <alignment wrapText="1"/>
    </xf>
    <xf numFmtId="170" fontId="11" fillId="0" borderId="3" xfId="3" applyFont="1" applyFill="1" applyBorder="1" applyAlignment="1">
      <alignment wrapText="1"/>
    </xf>
    <xf numFmtId="0" fontId="11" fillId="0" borderId="3" xfId="9" applyFont="1" applyFill="1" applyBorder="1"/>
    <xf numFmtId="0" fontId="11" fillId="0" borderId="3" xfId="9" applyFont="1" applyFill="1" applyBorder="1" applyAlignment="1">
      <alignment wrapText="1"/>
    </xf>
    <xf numFmtId="170" fontId="11" fillId="0" borderId="3" xfId="3" applyFont="1" applyFill="1" applyBorder="1"/>
    <xf numFmtId="1" fontId="11" fillId="0" borderId="3" xfId="9" applyNumberFormat="1" applyFont="1" applyFill="1" applyBorder="1"/>
    <xf numFmtId="1" fontId="11" fillId="0" borderId="3" xfId="9" applyNumberFormat="1" applyFont="1" applyBorder="1" applyAlignment="1">
      <alignment wrapText="1"/>
    </xf>
    <xf numFmtId="181" fontId="11" fillId="0" borderId="16" xfId="7" applyNumberFormat="1" applyFont="1" applyBorder="1" applyAlignment="1" applyProtection="1"/>
    <xf numFmtId="182" fontId="11" fillId="0" borderId="3" xfId="0" applyNumberFormat="1" applyFont="1" applyBorder="1" applyAlignment="1"/>
    <xf numFmtId="11" fontId="33" fillId="0" borderId="3" xfId="9" applyNumberFormat="1" applyFont="1" applyFill="1" applyBorder="1" applyAlignment="1">
      <alignment horizontal="right" wrapText="1"/>
    </xf>
    <xf numFmtId="0" fontId="10" fillId="7" borderId="34" xfId="0" applyFont="1" applyFill="1" applyBorder="1" applyAlignment="1">
      <alignment horizontal="right"/>
    </xf>
    <xf numFmtId="18" fontId="18" fillId="10" borderId="37" xfId="1" applyNumberFormat="1" applyFont="1" applyFill="1" applyBorder="1" applyAlignment="1" applyProtection="1">
      <protection locked="0"/>
    </xf>
    <xf numFmtId="0" fontId="25" fillId="10" borderId="37" xfId="8" applyFill="1" applyBorder="1" applyAlignment="1">
      <alignment horizontal="left"/>
    </xf>
    <xf numFmtId="172" fontId="18" fillId="10" borderId="37" xfId="5" applyNumberFormat="1" applyFont="1" applyFill="1" applyBorder="1" applyProtection="1">
      <protection locked="0"/>
    </xf>
    <xf numFmtId="0" fontId="18" fillId="10" borderId="37" xfId="1" applyFont="1" applyFill="1" applyBorder="1" applyAlignment="1" applyProtection="1">
      <alignment horizontal="center"/>
      <protection locked="0"/>
    </xf>
    <xf numFmtId="172" fontId="18" fillId="10" borderId="37" xfId="1" applyNumberFormat="1" applyFont="1" applyFill="1" applyBorder="1" applyAlignment="1" applyProtection="1">
      <alignment horizontal="center"/>
      <protection locked="0"/>
    </xf>
    <xf numFmtId="172" fontId="18" fillId="10" borderId="37" xfId="1" applyNumberFormat="1" applyFont="1" applyFill="1" applyBorder="1" applyAlignment="1">
      <alignment horizontal="right"/>
    </xf>
    <xf numFmtId="0" fontId="18" fillId="10" borderId="37" xfId="1" applyFont="1" applyFill="1" applyBorder="1" applyAlignment="1">
      <alignment horizontal="center"/>
    </xf>
    <xf numFmtId="0" fontId="18" fillId="10" borderId="5" xfId="1" applyFont="1" applyFill="1" applyBorder="1" applyProtection="1">
      <protection locked="0"/>
    </xf>
    <xf numFmtId="0" fontId="25" fillId="9" borderId="3" xfId="8" applyFill="1" applyBorder="1" applyAlignment="1">
      <alignment horizontal="left"/>
    </xf>
    <xf numFmtId="0" fontId="38" fillId="0" borderId="0" xfId="39" applyFont="1" applyBorder="1"/>
    <xf numFmtId="0" fontId="0" fillId="0" borderId="43" xfId="0" applyBorder="1"/>
    <xf numFmtId="170" fontId="38" fillId="0" borderId="0" xfId="39" applyNumberFormat="1" applyFont="1" applyBorder="1"/>
    <xf numFmtId="0" fontId="0" fillId="0" borderId="42" xfId="0" applyBorder="1"/>
    <xf numFmtId="0" fontId="38" fillId="0" borderId="0" xfId="39" applyFont="1" applyBorder="1" applyAlignment="1">
      <alignment horizontal="right"/>
    </xf>
    <xf numFmtId="37" fontId="38" fillId="0" borderId="0" xfId="39" applyNumberFormat="1" applyFont="1" applyBorder="1"/>
    <xf numFmtId="0" fontId="0" fillId="0" borderId="41" xfId="0" applyBorder="1"/>
    <xf numFmtId="0" fontId="0" fillId="0" borderId="40" xfId="0" applyBorder="1"/>
    <xf numFmtId="0" fontId="25" fillId="0" borderId="0" xfId="8" applyFill="1" applyBorder="1"/>
    <xf numFmtId="170" fontId="33" fillId="0" borderId="3" xfId="36" applyFont="1" applyFill="1" applyBorder="1"/>
    <xf numFmtId="170" fontId="33" fillId="0" borderId="3" xfId="3" applyFont="1" applyFill="1" applyBorder="1"/>
    <xf numFmtId="170" fontId="33" fillId="0" borderId="3" xfId="36" applyNumberFormat="1" applyFont="1" applyFill="1" applyBorder="1"/>
    <xf numFmtId="0" fontId="25" fillId="0" borderId="0" xfId="8"/>
    <xf numFmtId="0" fontId="33" fillId="0" borderId="3" xfId="30" applyFont="1" applyFill="1" applyBorder="1" applyAlignment="1">
      <alignment wrapText="1"/>
    </xf>
    <xf numFmtId="165" fontId="11" fillId="0" borderId="3" xfId="7" applyNumberFormat="1" applyFont="1" applyBorder="1" applyAlignment="1" applyProtection="1"/>
    <xf numFmtId="164" fontId="11" fillId="0" borderId="3" xfId="7" applyNumberFormat="1" applyFont="1" applyBorder="1" applyAlignment="1" applyProtection="1"/>
    <xf numFmtId="0" fontId="38" fillId="0" borderId="44" xfId="39" applyFont="1" applyBorder="1"/>
    <xf numFmtId="0" fontId="43" fillId="0" borderId="44" xfId="39" applyFont="1" applyBorder="1"/>
    <xf numFmtId="0" fontId="43" fillId="0" borderId="0" xfId="39" applyFont="1" applyBorder="1"/>
    <xf numFmtId="1" fontId="33" fillId="0" borderId="46" xfId="42" applyNumberFormat="1" applyFont="1" applyFill="1" applyBorder="1"/>
    <xf numFmtId="0" fontId="33" fillId="0" borderId="47" xfId="42" applyFont="1" applyFill="1" applyBorder="1"/>
    <xf numFmtId="0" fontId="0" fillId="0" borderId="48" xfId="0" applyBorder="1"/>
    <xf numFmtId="0" fontId="0" fillId="0" borderId="49" xfId="0" applyBorder="1"/>
    <xf numFmtId="0" fontId="0" fillId="0" borderId="50" xfId="0" applyBorder="1"/>
    <xf numFmtId="0" fontId="43" fillId="16" borderId="38" xfId="39" applyFont="1" applyFill="1" applyBorder="1"/>
    <xf numFmtId="183" fontId="43" fillId="16" borderId="39" xfId="39" applyNumberFormat="1" applyFont="1" applyFill="1" applyBorder="1"/>
    <xf numFmtId="0" fontId="43" fillId="16" borderId="5" xfId="39" applyFont="1" applyFill="1" applyBorder="1" applyAlignment="1">
      <alignment horizontal="right"/>
    </xf>
    <xf numFmtId="170" fontId="43" fillId="16" borderId="39" xfId="39" applyNumberFormat="1" applyFont="1" applyFill="1" applyBorder="1"/>
    <xf numFmtId="0" fontId="43" fillId="16" borderId="46" xfId="39" applyFont="1" applyFill="1" applyBorder="1"/>
    <xf numFmtId="11" fontId="0" fillId="0" borderId="0" xfId="0" applyNumberFormat="1"/>
    <xf numFmtId="170" fontId="33" fillId="0" borderId="46" xfId="3" applyFont="1" applyFill="1" applyBorder="1"/>
    <xf numFmtId="170" fontId="33" fillId="0" borderId="46" xfId="3" applyNumberFormat="1" applyFont="1" applyFill="1" applyBorder="1" applyAlignment="1"/>
    <xf numFmtId="0" fontId="41" fillId="0" borderId="45" xfId="30" applyFont="1" applyFill="1" applyBorder="1" applyAlignment="1">
      <alignment wrapText="1"/>
    </xf>
    <xf numFmtId="0" fontId="44" fillId="0" borderId="46" xfId="39" applyFont="1" applyBorder="1"/>
    <xf numFmtId="0" fontId="41" fillId="13" borderId="46" xfId="42" applyFont="1" applyFill="1" applyBorder="1"/>
    <xf numFmtId="0" fontId="41" fillId="0" borderId="46" xfId="30" applyFont="1" applyFill="1" applyBorder="1" applyAlignment="1">
      <alignment wrapText="1"/>
    </xf>
    <xf numFmtId="0" fontId="44" fillId="0" borderId="0" xfId="39" applyFont="1" applyBorder="1"/>
    <xf numFmtId="170" fontId="41" fillId="13" borderId="46" xfId="42" applyNumberFormat="1" applyFont="1" applyFill="1" applyBorder="1"/>
    <xf numFmtId="170" fontId="41" fillId="0" borderId="46" xfId="3" applyNumberFormat="1" applyFont="1" applyFill="1" applyBorder="1" applyAlignment="1"/>
    <xf numFmtId="0" fontId="45" fillId="0" borderId="0" xfId="39" applyFont="1" applyBorder="1"/>
    <xf numFmtId="184" fontId="44" fillId="0" borderId="46" xfId="40" applyNumberFormat="1" applyFont="1" applyBorder="1"/>
    <xf numFmtId="0" fontId="41" fillId="0" borderId="0" xfId="0" applyFont="1" applyBorder="1"/>
    <xf numFmtId="0" fontId="10" fillId="8" borderId="51" xfId="0" applyFont="1" applyFill="1" applyBorder="1"/>
    <xf numFmtId="0" fontId="43" fillId="16" borderId="47" xfId="39" applyFont="1" applyFill="1" applyBorder="1"/>
    <xf numFmtId="0" fontId="33" fillId="0" borderId="46" xfId="42" applyFont="1" applyFill="1" applyBorder="1" applyAlignment="1" applyProtection="1">
      <alignment wrapText="1"/>
    </xf>
    <xf numFmtId="0" fontId="33" fillId="0" borderId="46" xfId="42" applyFont="1" applyFill="1" applyBorder="1" applyAlignment="1">
      <alignment horizontal="left"/>
    </xf>
    <xf numFmtId="177" fontId="33" fillId="0" borderId="46" xfId="42" applyNumberFormat="1" applyFont="1" applyFill="1" applyBorder="1"/>
    <xf numFmtId="0" fontId="33" fillId="0" borderId="46" xfId="42" applyFont="1" applyFill="1" applyBorder="1"/>
    <xf numFmtId="43" fontId="33" fillId="0" borderId="46" xfId="41" applyFont="1" applyFill="1" applyBorder="1"/>
    <xf numFmtId="11" fontId="33" fillId="0" borderId="46" xfId="42" applyNumberFormat="1" applyFont="1" applyFill="1" applyBorder="1" applyAlignment="1">
      <alignment wrapText="1"/>
    </xf>
    <xf numFmtId="11" fontId="33" fillId="0" borderId="46" xfId="41" applyNumberFormat="1" applyFont="1" applyFill="1" applyBorder="1"/>
    <xf numFmtId="0" fontId="33" fillId="0" borderId="46" xfId="41" applyNumberFormat="1" applyFont="1" applyFill="1" applyBorder="1"/>
    <xf numFmtId="170" fontId="33" fillId="0" borderId="46" xfId="36" applyNumberFormat="1" applyFont="1" applyFill="1" applyBorder="1"/>
    <xf numFmtId="170" fontId="38" fillId="0" borderId="46" xfId="43" applyFont="1" applyFill="1" applyBorder="1">
      <alignment vertical="center" wrapText="1"/>
    </xf>
    <xf numFmtId="11" fontId="3" fillId="0" borderId="46" xfId="39" applyNumberFormat="1" applyBorder="1"/>
    <xf numFmtId="0" fontId="33" fillId="0" borderId="46" xfId="39" applyFont="1" applyFill="1" applyBorder="1" applyAlignment="1" applyProtection="1">
      <alignment vertical="center" wrapText="1"/>
    </xf>
    <xf numFmtId="0" fontId="41" fillId="0" borderId="47" xfId="42" applyFont="1" applyBorder="1"/>
    <xf numFmtId="0" fontId="41" fillId="0" borderId="46" xfId="42" applyFont="1" applyBorder="1" applyAlignment="1">
      <alignment wrapText="1"/>
    </xf>
    <xf numFmtId="170" fontId="41" fillId="0" borderId="46" xfId="3" applyFont="1" applyFill="1" applyBorder="1"/>
    <xf numFmtId="0" fontId="41" fillId="0" borderId="46" xfId="42" applyFont="1" applyBorder="1"/>
    <xf numFmtId="0" fontId="41" fillId="0" borderId="47" xfId="42" applyFont="1" applyFill="1" applyBorder="1"/>
    <xf numFmtId="0" fontId="33" fillId="0" borderId="46" xfId="30" applyFont="1" applyFill="1" applyBorder="1" applyAlignment="1">
      <alignment wrapText="1"/>
    </xf>
    <xf numFmtId="175" fontId="41" fillId="0" borderId="46" xfId="42" applyNumberFormat="1" applyFont="1" applyFill="1" applyBorder="1"/>
    <xf numFmtId="0" fontId="38" fillId="0" borderId="3" xfId="9" applyFont="1" applyBorder="1" applyAlignment="1">
      <alignment wrapText="1"/>
    </xf>
    <xf numFmtId="0" fontId="38" fillId="0" borderId="3" xfId="30" applyFont="1" applyFill="1" applyBorder="1" applyAlignment="1">
      <alignment wrapText="1"/>
    </xf>
    <xf numFmtId="170" fontId="38" fillId="0" borderId="3" xfId="3" applyFont="1" applyFill="1" applyBorder="1" applyAlignment="1">
      <alignment wrapText="1"/>
    </xf>
    <xf numFmtId="170" fontId="38" fillId="0" borderId="3" xfId="3" applyNumberFormat="1" applyFont="1" applyFill="1" applyBorder="1" applyAlignment="1">
      <alignment wrapText="1"/>
    </xf>
    <xf numFmtId="0" fontId="38" fillId="0" borderId="3" xfId="9" applyFont="1" applyFill="1" applyBorder="1"/>
    <xf numFmtId="0" fontId="38" fillId="0" borderId="3" xfId="9" applyFont="1" applyFill="1" applyBorder="1" applyAlignment="1">
      <alignment wrapText="1"/>
    </xf>
    <xf numFmtId="170" fontId="38" fillId="0" borderId="3" xfId="3" applyFont="1" applyFill="1" applyBorder="1"/>
    <xf numFmtId="1" fontId="38" fillId="0" borderId="3" xfId="9" applyNumberFormat="1" applyFont="1" applyFill="1" applyBorder="1"/>
    <xf numFmtId="170" fontId="38" fillId="0" borderId="3" xfId="3" applyNumberFormat="1" applyFont="1" applyFill="1" applyBorder="1" applyAlignment="1"/>
    <xf numFmtId="0" fontId="46" fillId="0" borderId="17" xfId="0" applyFont="1" applyBorder="1"/>
    <xf numFmtId="0" fontId="46" fillId="0" borderId="18" xfId="0" applyFont="1" applyBorder="1"/>
    <xf numFmtId="0" fontId="46" fillId="0" borderId="19" xfId="0" applyFont="1" applyBorder="1"/>
    <xf numFmtId="0" fontId="43" fillId="8" borderId="16" xfId="0" applyFont="1" applyFill="1" applyBorder="1"/>
    <xf numFmtId="0" fontId="38" fillId="0" borderId="0" xfId="0" applyFont="1" applyBorder="1"/>
    <xf numFmtId="0" fontId="46" fillId="0" borderId="0" xfId="0" applyFont="1" applyBorder="1"/>
    <xf numFmtId="0" fontId="47" fillId="0" borderId="0" xfId="8" applyFont="1" applyBorder="1"/>
    <xf numFmtId="0" fontId="43" fillId="8" borderId="16" xfId="0" applyFont="1" applyFill="1" applyBorder="1" applyAlignment="1">
      <alignment horizontal="left"/>
    </xf>
    <xf numFmtId="0" fontId="38" fillId="0" borderId="16" xfId="0" applyFont="1" applyBorder="1" applyAlignment="1">
      <alignment horizontal="right"/>
    </xf>
    <xf numFmtId="165" fontId="38" fillId="0" borderId="16" xfId="7" applyNumberFormat="1" applyFont="1" applyBorder="1" applyAlignment="1" applyProtection="1"/>
    <xf numFmtId="0" fontId="46" fillId="0" borderId="20" xfId="0" applyFont="1" applyBorder="1"/>
    <xf numFmtId="0" fontId="46" fillId="0" borderId="0" xfId="0" applyFont="1"/>
    <xf numFmtId="37" fontId="38" fillId="0" borderId="16" xfId="7" applyNumberFormat="1" applyFont="1" applyBorder="1" applyAlignment="1" applyProtection="1"/>
    <xf numFmtId="0" fontId="43" fillId="8" borderId="2" xfId="0" applyFont="1" applyFill="1" applyBorder="1"/>
    <xf numFmtId="0" fontId="38" fillId="0" borderId="16" xfId="7" applyNumberFormat="1" applyFont="1" applyBorder="1" applyAlignment="1" applyProtection="1"/>
    <xf numFmtId="49" fontId="38" fillId="0" borderId="0" xfId="0" applyNumberFormat="1" applyFont="1" applyBorder="1" applyAlignment="1">
      <alignment horizontal="left"/>
    </xf>
    <xf numFmtId="0" fontId="43" fillId="0" borderId="26" xfId="0" applyFont="1" applyBorder="1"/>
    <xf numFmtId="0" fontId="43" fillId="0" borderId="4" xfId="0" applyFont="1" applyBorder="1"/>
    <xf numFmtId="0" fontId="43" fillId="8" borderId="27" xfId="0" applyFont="1" applyFill="1" applyBorder="1"/>
    <xf numFmtId="0" fontId="43" fillId="8" borderId="5" xfId="0" applyFont="1" applyFill="1" applyBorder="1"/>
    <xf numFmtId="0" fontId="43" fillId="8" borderId="3" xfId="0" applyFont="1" applyFill="1" applyBorder="1"/>
    <xf numFmtId="0" fontId="38" fillId="0" borderId="22" xfId="0" applyFont="1" applyBorder="1" applyAlignment="1"/>
    <xf numFmtId="0" fontId="38" fillId="0" borderId="3" xfId="9" applyFont="1" applyFill="1" applyBorder="1" applyAlignment="1" applyProtection="1">
      <alignment wrapText="1"/>
    </xf>
    <xf numFmtId="0" fontId="38" fillId="0" borderId="3" xfId="9" applyFont="1" applyFill="1" applyBorder="1" applyAlignment="1">
      <alignment horizontal="left" wrapText="1"/>
    </xf>
    <xf numFmtId="178" fontId="38" fillId="0" borderId="3" xfId="0" applyNumberFormat="1" applyFont="1" applyBorder="1" applyAlignment="1"/>
    <xf numFmtId="0" fontId="38" fillId="0" borderId="3" xfId="0" applyFont="1" applyBorder="1" applyAlignment="1"/>
    <xf numFmtId="164" fontId="38" fillId="0" borderId="3" xfId="7" applyNumberFormat="1" applyFont="1" applyBorder="1" applyAlignment="1" applyProtection="1"/>
    <xf numFmtId="11" fontId="38" fillId="0" borderId="3" xfId="0" applyNumberFormat="1" applyFont="1" applyBorder="1" applyAlignment="1"/>
    <xf numFmtId="11" fontId="38" fillId="0" borderId="16" xfId="7" applyNumberFormat="1" applyFont="1" applyBorder="1" applyAlignment="1" applyProtection="1"/>
    <xf numFmtId="164" fontId="38" fillId="0" borderId="16" xfId="7" applyNumberFormat="1" applyFont="1" applyBorder="1" applyAlignment="1" applyProtection="1"/>
    <xf numFmtId="0" fontId="46" fillId="0" borderId="16" xfId="0" applyFont="1" applyBorder="1" applyAlignment="1"/>
    <xf numFmtId="1" fontId="38" fillId="0" borderId="3" xfId="7" applyNumberFormat="1" applyFont="1" applyBorder="1" applyAlignment="1" applyProtection="1"/>
    <xf numFmtId="165" fontId="38" fillId="0" borderId="3" xfId="7" applyNumberFormat="1" applyFont="1" applyBorder="1" applyAlignment="1" applyProtection="1"/>
    <xf numFmtId="0" fontId="46" fillId="0" borderId="20" xfId="0" applyFont="1" applyBorder="1" applyAlignment="1"/>
    <xf numFmtId="0" fontId="43" fillId="0" borderId="21" xfId="0" applyFont="1" applyBorder="1"/>
    <xf numFmtId="0" fontId="43" fillId="0" borderId="0" xfId="0" applyFont="1" applyBorder="1"/>
    <xf numFmtId="0" fontId="43" fillId="8" borderId="3" xfId="0" applyFont="1" applyFill="1" applyBorder="1" applyAlignment="1">
      <alignment horizontal="right"/>
    </xf>
    <xf numFmtId="165" fontId="43" fillId="8" borderId="5" xfId="0" applyNumberFormat="1" applyFont="1" applyFill="1" applyBorder="1"/>
    <xf numFmtId="0" fontId="46" fillId="0" borderId="21" xfId="0" applyFont="1" applyBorder="1"/>
    <xf numFmtId="0" fontId="43" fillId="8" borderId="22" xfId="0" applyFont="1" applyFill="1" applyBorder="1"/>
    <xf numFmtId="177" fontId="38" fillId="0" borderId="3" xfId="9" applyNumberFormat="1" applyFont="1" applyFill="1" applyBorder="1" applyAlignment="1">
      <alignment horizontal="right" wrapText="1"/>
    </xf>
    <xf numFmtId="0" fontId="46" fillId="0" borderId="0" xfId="0" applyFont="1" applyBorder="1" applyAlignment="1">
      <alignment wrapText="1"/>
    </xf>
    <xf numFmtId="0" fontId="46" fillId="0" borderId="20" xfId="0" applyFont="1" applyBorder="1" applyAlignment="1">
      <alignment wrapText="1"/>
    </xf>
    <xf numFmtId="0" fontId="43" fillId="8" borderId="5" xfId="0" applyFont="1" applyFill="1" applyBorder="1" applyAlignment="1">
      <alignment horizontal="right"/>
    </xf>
    <xf numFmtId="0" fontId="46" fillId="0" borderId="23" xfId="0" applyFont="1" applyBorder="1"/>
    <xf numFmtId="0" fontId="46" fillId="0" borderId="24" xfId="0" applyFont="1" applyBorder="1"/>
    <xf numFmtId="0" fontId="46" fillId="0" borderId="25" xfId="0" applyFont="1" applyBorder="1"/>
    <xf numFmtId="0" fontId="47" fillId="0" borderId="0" xfId="8" applyFont="1"/>
    <xf numFmtId="0" fontId="38" fillId="0" borderId="0" xfId="0" applyFont="1" applyBorder="1" applyAlignment="1">
      <alignment horizontal="left"/>
    </xf>
    <xf numFmtId="0" fontId="46" fillId="0" borderId="3" xfId="0" applyFont="1" applyBorder="1"/>
    <xf numFmtId="0" fontId="38" fillId="13" borderId="3" xfId="9" applyFont="1" applyFill="1" applyBorder="1"/>
    <xf numFmtId="170" fontId="38" fillId="13" borderId="3" xfId="9" applyNumberFormat="1" applyFont="1" applyFill="1" applyBorder="1"/>
    <xf numFmtId="0" fontId="46" fillId="0" borderId="3" xfId="9" applyFont="1" applyBorder="1"/>
    <xf numFmtId="170" fontId="46" fillId="0" borderId="3" xfId="9" applyNumberFormat="1" applyFont="1" applyBorder="1"/>
    <xf numFmtId="181" fontId="38" fillId="0" borderId="16" xfId="7" applyNumberFormat="1" applyFont="1" applyBorder="1" applyAlignment="1" applyProtection="1"/>
    <xf numFmtId="0" fontId="38" fillId="0" borderId="16" xfId="0" applyFont="1" applyBorder="1"/>
    <xf numFmtId="0" fontId="38" fillId="0" borderId="3" xfId="9" applyFont="1" applyFill="1" applyBorder="1" applyAlignment="1"/>
    <xf numFmtId="0" fontId="38" fillId="0" borderId="3" xfId="9" applyFont="1" applyFill="1" applyBorder="1" applyAlignment="1" applyProtection="1"/>
    <xf numFmtId="170" fontId="38" fillId="0" borderId="3" xfId="3" applyFont="1" applyFill="1" applyBorder="1" applyAlignment="1"/>
    <xf numFmtId="0" fontId="38" fillId="0" borderId="3" xfId="9" applyNumberFormat="1" applyFont="1" applyFill="1" applyBorder="1" applyAlignment="1"/>
    <xf numFmtId="171" fontId="38" fillId="0" borderId="3" xfId="35" applyFont="1" applyFill="1" applyBorder="1" applyAlignment="1"/>
    <xf numFmtId="11" fontId="38" fillId="0" borderId="3" xfId="9" applyNumberFormat="1" applyFont="1" applyFill="1" applyBorder="1" applyAlignment="1">
      <alignment wrapText="1"/>
    </xf>
    <xf numFmtId="11" fontId="38" fillId="0" borderId="3" xfId="37" applyNumberFormat="1" applyFont="1" applyFill="1" applyBorder="1" applyAlignment="1"/>
    <xf numFmtId="180" fontId="38" fillId="0" borderId="3" xfId="35" applyNumberFormat="1" applyFont="1" applyFill="1" applyBorder="1" applyAlignment="1"/>
    <xf numFmtId="2" fontId="38" fillId="0" borderId="3" xfId="35" applyNumberFormat="1" applyFont="1" applyFill="1" applyBorder="1" applyAlignment="1"/>
    <xf numFmtId="0" fontId="38" fillId="0" borderId="3" xfId="9" applyNumberFormat="1" applyFont="1" applyFill="1" applyBorder="1"/>
    <xf numFmtId="170" fontId="38" fillId="0" borderId="3" xfId="36" applyFont="1" applyFill="1" applyBorder="1"/>
    <xf numFmtId="170" fontId="38" fillId="0" borderId="3" xfId="36" applyNumberFormat="1" applyFont="1" applyFill="1" applyBorder="1"/>
    <xf numFmtId="3" fontId="38" fillId="0" borderId="3" xfId="9" applyNumberFormat="1" applyFont="1" applyBorder="1" applyAlignment="1"/>
    <xf numFmtId="0" fontId="38" fillId="0" borderId="20" xfId="9" applyFont="1" applyBorder="1" applyAlignment="1"/>
    <xf numFmtId="0" fontId="48" fillId="0" borderId="0" xfId="39" applyFont="1" applyBorder="1"/>
    <xf numFmtId="0" fontId="48" fillId="0" borderId="0" xfId="39" applyFont="1" applyBorder="1" applyAlignment="1">
      <alignment horizontal="right"/>
    </xf>
    <xf numFmtId="0" fontId="49" fillId="16" borderId="46" xfId="39" applyFont="1" applyFill="1" applyBorder="1"/>
    <xf numFmtId="170" fontId="48" fillId="0" borderId="0" xfId="39" applyNumberFormat="1" applyFont="1" applyBorder="1"/>
    <xf numFmtId="37" fontId="48" fillId="0" borderId="0" xfId="39" applyNumberFormat="1" applyFont="1" applyBorder="1"/>
    <xf numFmtId="0" fontId="48" fillId="0" borderId="44" xfId="39" applyFont="1" applyBorder="1"/>
    <xf numFmtId="0" fontId="49" fillId="16" borderId="47" xfId="39" applyFont="1" applyFill="1" applyBorder="1"/>
    <xf numFmtId="0" fontId="49" fillId="16" borderId="38" xfId="39" applyFont="1" applyFill="1" applyBorder="1"/>
    <xf numFmtId="170" fontId="48" fillId="0" borderId="46" xfId="43" applyFont="1" applyFill="1" applyBorder="1">
      <alignment vertical="center" wrapText="1"/>
    </xf>
    <xf numFmtId="11" fontId="44" fillId="0" borderId="46" xfId="39" applyNumberFormat="1" applyFont="1" applyBorder="1"/>
    <xf numFmtId="0" fontId="49" fillId="0" borderId="44" xfId="39" applyFont="1" applyBorder="1"/>
    <xf numFmtId="0" fontId="49" fillId="0" borderId="0" xfId="39" applyFont="1" applyBorder="1"/>
    <xf numFmtId="0" fontId="49" fillId="16" borderId="5" xfId="39" applyFont="1" applyFill="1" applyBorder="1" applyAlignment="1">
      <alignment horizontal="right"/>
    </xf>
    <xf numFmtId="0" fontId="50" fillId="0" borderId="40" xfId="0" applyFont="1" applyBorder="1"/>
    <xf numFmtId="0" fontId="50" fillId="0" borderId="41" xfId="0" applyFont="1" applyBorder="1"/>
    <xf numFmtId="0" fontId="50" fillId="0" borderId="42" xfId="0" applyFont="1" applyBorder="1"/>
    <xf numFmtId="0" fontId="49" fillId="8" borderId="51" xfId="0" applyFont="1" applyFill="1" applyBorder="1"/>
    <xf numFmtId="0" fontId="48" fillId="0" borderId="0" xfId="0" applyFont="1" applyBorder="1"/>
    <xf numFmtId="0" fontId="49" fillId="8" borderId="16" xfId="0" applyFont="1" applyFill="1" applyBorder="1"/>
    <xf numFmtId="0" fontId="50" fillId="0" borderId="43" xfId="0" applyFont="1" applyBorder="1"/>
    <xf numFmtId="0" fontId="51" fillId="0" borderId="0" xfId="8" applyFont="1" applyBorder="1"/>
    <xf numFmtId="0" fontId="48" fillId="0" borderId="16" xfId="0" applyFont="1" applyBorder="1"/>
    <xf numFmtId="49" fontId="48" fillId="0" borderId="0" xfId="0" applyNumberFormat="1" applyFont="1" applyBorder="1" applyAlignment="1">
      <alignment horizontal="left"/>
    </xf>
    <xf numFmtId="0" fontId="48" fillId="0" borderId="47" xfId="42" applyFont="1" applyFill="1" applyBorder="1"/>
    <xf numFmtId="0" fontId="48" fillId="0" borderId="46" xfId="42" applyFont="1" applyFill="1" applyBorder="1" applyAlignment="1" applyProtection="1">
      <alignment wrapText="1"/>
    </xf>
    <xf numFmtId="0" fontId="48" fillId="0" borderId="46" xfId="42" applyFont="1" applyFill="1" applyBorder="1" applyAlignment="1">
      <alignment horizontal="left"/>
    </xf>
    <xf numFmtId="170" fontId="48" fillId="0" borderId="46" xfId="3" applyFont="1" applyFill="1" applyBorder="1"/>
    <xf numFmtId="177" fontId="48" fillId="0" borderId="46" xfId="42" applyNumberFormat="1" applyFont="1" applyFill="1" applyBorder="1"/>
    <xf numFmtId="0" fontId="48" fillId="0" borderId="46" xfId="42" applyFont="1" applyFill="1" applyBorder="1"/>
    <xf numFmtId="43" fontId="48" fillId="0" borderId="46" xfId="41" applyFont="1" applyFill="1" applyBorder="1"/>
    <xf numFmtId="11" fontId="48" fillId="0" borderId="46" xfId="42" applyNumberFormat="1" applyFont="1" applyFill="1" applyBorder="1" applyAlignment="1">
      <alignment wrapText="1"/>
    </xf>
    <xf numFmtId="11" fontId="48" fillId="0" borderId="46" xfId="41" applyNumberFormat="1" applyFont="1" applyFill="1" applyBorder="1"/>
    <xf numFmtId="0" fontId="48" fillId="0" borderId="46" xfId="41" applyNumberFormat="1" applyFont="1" applyFill="1" applyBorder="1"/>
    <xf numFmtId="170" fontId="48" fillId="0" borderId="46" xfId="36" applyNumberFormat="1" applyFont="1" applyFill="1" applyBorder="1"/>
    <xf numFmtId="0" fontId="48" fillId="0" borderId="46" xfId="39" applyFont="1" applyFill="1" applyBorder="1" applyAlignment="1" applyProtection="1">
      <alignment vertical="center" wrapText="1"/>
    </xf>
    <xf numFmtId="0" fontId="44" fillId="0" borderId="47" xfId="42" applyFont="1" applyBorder="1"/>
    <xf numFmtId="0" fontId="44" fillId="0" borderId="46" xfId="30" applyFont="1" applyFill="1" applyBorder="1" applyAlignment="1">
      <alignment wrapText="1"/>
    </xf>
    <xf numFmtId="0" fontId="44" fillId="0" borderId="46" xfId="42" applyFont="1" applyBorder="1" applyAlignment="1">
      <alignment wrapText="1"/>
    </xf>
    <xf numFmtId="170" fontId="44" fillId="0" borderId="46" xfId="3" applyFont="1" applyFill="1" applyBorder="1"/>
    <xf numFmtId="0" fontId="44" fillId="0" borderId="46" xfId="42" applyFont="1" applyBorder="1"/>
    <xf numFmtId="170" fontId="48" fillId="0" borderId="46" xfId="3" applyNumberFormat="1" applyFont="1" applyFill="1" applyBorder="1" applyAlignment="1"/>
    <xf numFmtId="0" fontId="44" fillId="0" borderId="47" xfId="42" applyFont="1" applyFill="1" applyBorder="1"/>
    <xf numFmtId="0" fontId="44" fillId="0" borderId="45" xfId="30" applyFont="1" applyFill="1" applyBorder="1" applyAlignment="1">
      <alignment wrapText="1"/>
    </xf>
    <xf numFmtId="175" fontId="44" fillId="0" borderId="46" xfId="42" applyNumberFormat="1" applyFont="1" applyFill="1" applyBorder="1"/>
    <xf numFmtId="0" fontId="48" fillId="0" borderId="46" xfId="30" applyFont="1" applyFill="1" applyBorder="1" applyAlignment="1">
      <alignment wrapText="1"/>
    </xf>
    <xf numFmtId="0" fontId="44" fillId="13" borderId="46" xfId="42" applyFont="1" applyFill="1" applyBorder="1"/>
    <xf numFmtId="170" fontId="44" fillId="13" borderId="46" xfId="42" applyNumberFormat="1" applyFont="1" applyFill="1" applyBorder="1"/>
    <xf numFmtId="170" fontId="44" fillId="0" borderId="46" xfId="3" applyNumberFormat="1" applyFont="1" applyFill="1" applyBorder="1" applyAlignment="1"/>
    <xf numFmtId="11" fontId="44" fillId="0" borderId="46" xfId="42" applyNumberFormat="1" applyFont="1" applyBorder="1"/>
    <xf numFmtId="0" fontId="44" fillId="0" borderId="0" xfId="0" applyFont="1" applyBorder="1"/>
    <xf numFmtId="0" fontId="50" fillId="0" borderId="0" xfId="0" applyFont="1" applyBorder="1"/>
    <xf numFmtId="0" fontId="50" fillId="0" borderId="48" xfId="0" applyFont="1" applyBorder="1"/>
    <xf numFmtId="0" fontId="50" fillId="0" borderId="49" xfId="0" applyFont="1" applyBorder="1"/>
    <xf numFmtId="0" fontId="50" fillId="0" borderId="50" xfId="0" applyFont="1" applyBorder="1"/>
    <xf numFmtId="0" fontId="25" fillId="0" borderId="33" xfId="8" applyNumberFormat="1" applyBorder="1" applyAlignment="1" applyProtection="1"/>
    <xf numFmtId="0" fontId="25" fillId="0" borderId="46" xfId="8" applyNumberFormat="1" applyBorder="1" applyAlignment="1" applyProtection="1"/>
    <xf numFmtId="0" fontId="11" fillId="0" borderId="46" xfId="0" applyFont="1" applyFill="1" applyBorder="1"/>
    <xf numFmtId="165" fontId="11" fillId="0" borderId="35" xfId="7" applyNumberFormat="1" applyFont="1" applyBorder="1" applyAlignment="1" applyProtection="1"/>
    <xf numFmtId="165" fontId="11" fillId="0" borderId="52" xfId="7" applyNumberFormat="1" applyFont="1" applyBorder="1" applyAlignment="1" applyProtection="1"/>
    <xf numFmtId="0" fontId="18" fillId="10" borderId="46" xfId="1" applyFont="1" applyFill="1" applyBorder="1" applyProtection="1">
      <protection locked="0"/>
    </xf>
    <xf numFmtId="18" fontId="18" fillId="10" borderId="46" xfId="1" applyNumberFormat="1" applyFont="1" applyFill="1" applyBorder="1" applyAlignment="1" applyProtection="1">
      <protection locked="0"/>
    </xf>
    <xf numFmtId="0" fontId="25" fillId="10" borderId="46" xfId="8" applyFill="1" applyBorder="1" applyAlignment="1">
      <alignment horizontal="left"/>
    </xf>
    <xf numFmtId="0" fontId="18" fillId="10" borderId="46" xfId="1" applyFont="1" applyFill="1" applyBorder="1" applyAlignment="1">
      <alignment horizontal="center"/>
    </xf>
    <xf numFmtId="0" fontId="43" fillId="7" borderId="16" xfId="0" applyFont="1" applyFill="1" applyBorder="1"/>
    <xf numFmtId="172" fontId="38" fillId="0" borderId="16" xfId="7" applyNumberFormat="1" applyFont="1" applyBorder="1" applyAlignment="1" applyProtection="1"/>
    <xf numFmtId="0" fontId="43" fillId="7" borderId="0" xfId="0" applyFont="1" applyFill="1" applyBorder="1"/>
    <xf numFmtId="0" fontId="47" fillId="0" borderId="16" xfId="8" applyNumberFormat="1" applyFont="1" applyBorder="1" applyAlignment="1" applyProtection="1"/>
    <xf numFmtId="0" fontId="38" fillId="0" borderId="16" xfId="0" applyNumberFormat="1" applyFont="1" applyBorder="1"/>
    <xf numFmtId="0" fontId="38" fillId="0" borderId="20" xfId="7" applyNumberFormat="1" applyFont="1" applyBorder="1" applyAlignment="1"/>
    <xf numFmtId="0" fontId="38" fillId="0" borderId="46" xfId="0" applyFont="1" applyFill="1" applyBorder="1"/>
    <xf numFmtId="0" fontId="38" fillId="0" borderId="33" xfId="0" applyFont="1" applyBorder="1"/>
    <xf numFmtId="0" fontId="43" fillId="7" borderId="16" xfId="0" applyFont="1" applyFill="1" applyBorder="1" applyAlignment="1">
      <alignment horizontal="right"/>
    </xf>
    <xf numFmtId="165" fontId="43" fillId="7" borderId="16" xfId="0" applyNumberFormat="1" applyFont="1" applyFill="1" applyBorder="1"/>
    <xf numFmtId="165" fontId="38" fillId="0" borderId="33" xfId="7" applyNumberFormat="1" applyFont="1" applyBorder="1" applyAlignment="1" applyProtection="1"/>
    <xf numFmtId="0" fontId="46" fillId="0" borderId="16" xfId="7" applyNumberFormat="1" applyFont="1" applyBorder="1" applyAlignment="1">
      <alignment wrapText="1"/>
    </xf>
    <xf numFmtId="0" fontId="46" fillId="0" borderId="16" xfId="0" applyFont="1" applyBorder="1"/>
    <xf numFmtId="0" fontId="43" fillId="7" borderId="33" xfId="0" applyFont="1" applyFill="1" applyBorder="1"/>
    <xf numFmtId="0" fontId="43" fillId="7" borderId="34" xfId="0" applyFont="1" applyFill="1" applyBorder="1"/>
    <xf numFmtId="165" fontId="43" fillId="7" borderId="34" xfId="0" applyNumberFormat="1" applyFont="1" applyFill="1" applyBorder="1"/>
    <xf numFmtId="0" fontId="38" fillId="0" borderId="46" xfId="0" applyFont="1" applyBorder="1"/>
    <xf numFmtId="170" fontId="38" fillId="0" borderId="46" xfId="11" applyFont="1" applyFill="1" applyBorder="1">
      <alignment vertical="center" wrapText="1"/>
    </xf>
    <xf numFmtId="164" fontId="38" fillId="0" borderId="46" xfId="7" applyNumberFormat="1" applyFont="1" applyBorder="1" applyAlignment="1" applyProtection="1"/>
    <xf numFmtId="11" fontId="38" fillId="0" borderId="46" xfId="0" applyNumberFormat="1" applyFont="1" applyBorder="1"/>
    <xf numFmtId="167" fontId="38" fillId="0" borderId="46" xfId="7" applyNumberFormat="1" applyFont="1" applyBorder="1" applyAlignment="1" applyProtection="1"/>
    <xf numFmtId="169" fontId="38" fillId="0" borderId="46" xfId="7" applyNumberFormat="1" applyFont="1" applyBorder="1" applyAlignment="1" applyProtection="1"/>
    <xf numFmtId="165" fontId="38" fillId="0" borderId="46" xfId="7" applyNumberFormat="1" applyFont="1" applyBorder="1" applyAlignment="1" applyProtection="1"/>
    <xf numFmtId="0" fontId="38" fillId="0" borderId="46" xfId="31" applyFont="1" applyFill="1" applyBorder="1"/>
    <xf numFmtId="0" fontId="38" fillId="0" borderId="46" xfId="31" applyFont="1" applyFill="1" applyBorder="1" applyAlignment="1">
      <alignment wrapText="1"/>
    </xf>
    <xf numFmtId="0" fontId="38" fillId="0" borderId="46" xfId="0" applyFont="1" applyBorder="1" applyAlignment="1"/>
    <xf numFmtId="11" fontId="38" fillId="0" borderId="46" xfId="0" applyNumberFormat="1" applyFont="1" applyBorder="1" applyAlignment="1"/>
    <xf numFmtId="173" fontId="38" fillId="0" borderId="46" xfId="7" applyNumberFormat="1" applyFont="1" applyBorder="1" applyAlignment="1" applyProtection="1"/>
    <xf numFmtId="168" fontId="38" fillId="0" borderId="46" xfId="7" applyNumberFormat="1" applyFont="1" applyBorder="1" applyAlignment="1" applyProtection="1"/>
    <xf numFmtId="0" fontId="46" fillId="0" borderId="46" xfId="0" applyFont="1" applyBorder="1" applyAlignment="1"/>
    <xf numFmtId="2" fontId="38" fillId="0" borderId="46" xfId="7" applyNumberFormat="1" applyFont="1" applyBorder="1" applyAlignment="1" applyProtection="1"/>
    <xf numFmtId="0" fontId="47" fillId="0" borderId="33" xfId="8" applyNumberFormat="1" applyFont="1" applyBorder="1" applyAlignment="1" applyProtection="1"/>
    <xf numFmtId="0" fontId="38" fillId="0" borderId="33" xfId="0" applyNumberFormat="1" applyFont="1" applyBorder="1"/>
    <xf numFmtId="0" fontId="43" fillId="7" borderId="34" xfId="0" applyFont="1" applyFill="1" applyBorder="1" applyAlignment="1">
      <alignment horizontal="right"/>
    </xf>
    <xf numFmtId="0" fontId="33" fillId="0" borderId="46" xfId="42" applyFont="1" applyFill="1" applyBorder="1" applyAlignment="1"/>
    <xf numFmtId="0" fontId="33" fillId="0" borderId="46" xfId="42" applyFont="1" applyFill="1" applyBorder="1" applyAlignment="1" applyProtection="1"/>
    <xf numFmtId="170" fontId="33" fillId="0" borderId="46" xfId="3" applyFont="1" applyFill="1" applyBorder="1" applyAlignment="1"/>
    <xf numFmtId="0" fontId="33" fillId="0" borderId="46" xfId="42" applyNumberFormat="1" applyFont="1" applyFill="1" applyBorder="1" applyAlignment="1"/>
    <xf numFmtId="171" fontId="33" fillId="0" borderId="46" xfId="35" applyFont="1" applyFill="1" applyBorder="1" applyAlignment="1"/>
    <xf numFmtId="0" fontId="12" fillId="0" borderId="46" xfId="42" applyBorder="1" applyAlignment="1">
      <alignment wrapText="1"/>
    </xf>
    <xf numFmtId="0" fontId="33" fillId="0" borderId="46" xfId="42" applyFont="1" applyBorder="1" applyAlignment="1">
      <alignment wrapText="1"/>
    </xf>
    <xf numFmtId="170" fontId="33" fillId="0" borderId="46" xfId="3" applyFont="1" applyFill="1" applyBorder="1" applyAlignment="1">
      <alignment wrapText="1"/>
    </xf>
    <xf numFmtId="170" fontId="33" fillId="0" borderId="46" xfId="3" applyNumberFormat="1" applyFont="1" applyFill="1" applyBorder="1" applyAlignment="1">
      <alignment wrapText="1"/>
    </xf>
    <xf numFmtId="0" fontId="33" fillId="0" borderId="46" xfId="42" applyFont="1" applyFill="1" applyBorder="1" applyAlignment="1">
      <alignment wrapText="1"/>
    </xf>
    <xf numFmtId="0" fontId="33" fillId="0" borderId="46" xfId="42" applyFont="1" applyBorder="1"/>
    <xf numFmtId="0" fontId="12" fillId="0" borderId="0" xfId="42" applyBorder="1" applyAlignment="1">
      <alignment wrapText="1"/>
    </xf>
    <xf numFmtId="0" fontId="12" fillId="0" borderId="20" xfId="42" applyBorder="1" applyAlignment="1">
      <alignment wrapText="1"/>
    </xf>
    <xf numFmtId="0" fontId="12" fillId="0" borderId="0" xfId="42"/>
    <xf numFmtId="0" fontId="12" fillId="0" borderId="0" xfId="42" applyBorder="1"/>
    <xf numFmtId="0" fontId="12" fillId="0" borderId="20" xfId="42" applyBorder="1"/>
    <xf numFmtId="0" fontId="12" fillId="0" borderId="0" xfId="42" applyFont="1" applyBorder="1"/>
    <xf numFmtId="0" fontId="12" fillId="0" borderId="20" xfId="42" applyFont="1" applyBorder="1"/>
    <xf numFmtId="0" fontId="10" fillId="0" borderId="0" xfId="42" applyFont="1" applyBorder="1"/>
    <xf numFmtId="0" fontId="12" fillId="13" borderId="0" xfId="42" applyFill="1" applyBorder="1"/>
    <xf numFmtId="2" fontId="33" fillId="0" borderId="3" xfId="9" applyNumberFormat="1" applyFont="1" applyFill="1" applyBorder="1" applyAlignment="1">
      <alignment horizontal="right" wrapText="1"/>
    </xf>
    <xf numFmtId="0" fontId="50" fillId="0" borderId="17" xfId="0" applyFont="1" applyBorder="1"/>
    <xf numFmtId="0" fontId="50" fillId="0" borderId="18" xfId="0" applyFont="1" applyBorder="1"/>
    <xf numFmtId="0" fontId="50" fillId="0" borderId="19" xfId="0" applyFont="1" applyBorder="1"/>
    <xf numFmtId="0" fontId="49" fillId="8" borderId="16" xfId="0" applyFont="1" applyFill="1" applyBorder="1" applyAlignment="1">
      <alignment horizontal="left"/>
    </xf>
    <xf numFmtId="0" fontId="48" fillId="0" borderId="16" xfId="0" applyFont="1" applyBorder="1" applyAlignment="1">
      <alignment horizontal="right"/>
    </xf>
    <xf numFmtId="165" fontId="48" fillId="0" borderId="16" xfId="7" applyNumberFormat="1" applyFont="1" applyBorder="1" applyAlignment="1" applyProtection="1"/>
    <xf numFmtId="0" fontId="50" fillId="0" borderId="20" xfId="0" applyFont="1" applyBorder="1"/>
    <xf numFmtId="0" fontId="51" fillId="0" borderId="0" xfId="8" applyFont="1"/>
    <xf numFmtId="37" fontId="48" fillId="0" borderId="16" xfId="7" applyNumberFormat="1" applyFont="1" applyBorder="1" applyAlignment="1" applyProtection="1"/>
    <xf numFmtId="0" fontId="49" fillId="8" borderId="2" xfId="0" applyFont="1" applyFill="1" applyBorder="1"/>
    <xf numFmtId="0" fontId="48" fillId="0" borderId="0" xfId="0" applyFont="1" applyBorder="1" applyAlignment="1">
      <alignment horizontal="left"/>
    </xf>
    <xf numFmtId="0" fontId="49" fillId="0" borderId="26" xfId="0" applyFont="1" applyBorder="1"/>
    <xf numFmtId="0" fontId="49" fillId="0" borderId="4" xfId="0" applyFont="1" applyBorder="1"/>
    <xf numFmtId="0" fontId="49" fillId="8" borderId="27" xfId="0" applyFont="1" applyFill="1" applyBorder="1"/>
    <xf numFmtId="0" fontId="49" fillId="8" borderId="5" xfId="0" applyFont="1" applyFill="1" applyBorder="1"/>
    <xf numFmtId="0" fontId="49" fillId="8" borderId="3" xfId="0" applyFont="1" applyFill="1" applyBorder="1"/>
    <xf numFmtId="0" fontId="48" fillId="0" borderId="22" xfId="0" applyFont="1" applyBorder="1" applyAlignment="1"/>
    <xf numFmtId="0" fontId="50" fillId="0" borderId="3" xfId="0" applyFont="1" applyBorder="1"/>
    <xf numFmtId="0" fontId="48" fillId="0" borderId="3" xfId="0" applyFont="1" applyBorder="1" applyAlignment="1"/>
    <xf numFmtId="165" fontId="48" fillId="0" borderId="3" xfId="7" applyNumberFormat="1" applyFont="1" applyBorder="1" applyAlignment="1" applyProtection="1"/>
    <xf numFmtId="176" fontId="48" fillId="0" borderId="3" xfId="0" applyNumberFormat="1" applyFont="1" applyBorder="1" applyAlignment="1"/>
    <xf numFmtId="164" fontId="48" fillId="0" borderId="3" xfId="7" applyNumberFormat="1" applyFont="1" applyBorder="1" applyAlignment="1" applyProtection="1"/>
    <xf numFmtId="11" fontId="48" fillId="0" borderId="3" xfId="0" applyNumberFormat="1" applyFont="1" applyBorder="1" applyAlignment="1"/>
    <xf numFmtId="2" fontId="48" fillId="0" borderId="16" xfId="7" applyNumberFormat="1" applyFont="1" applyBorder="1" applyAlignment="1" applyProtection="1"/>
    <xf numFmtId="179" fontId="48" fillId="0" borderId="16" xfId="7" applyNumberFormat="1" applyFont="1" applyBorder="1" applyAlignment="1" applyProtection="1"/>
    <xf numFmtId="0" fontId="50" fillId="0" borderId="16" xfId="0" applyFont="1" applyBorder="1" applyAlignment="1"/>
    <xf numFmtId="1" fontId="48" fillId="0" borderId="3" xfId="7" applyNumberFormat="1" applyFont="1" applyBorder="1" applyAlignment="1" applyProtection="1"/>
    <xf numFmtId="0" fontId="50" fillId="0" borderId="20" xfId="0" applyFont="1" applyBorder="1" applyAlignment="1"/>
    <xf numFmtId="0" fontId="49" fillId="0" borderId="21" xfId="0" applyFont="1" applyBorder="1"/>
    <xf numFmtId="0" fontId="49" fillId="0" borderId="0" xfId="0" applyFont="1" applyBorder="1"/>
    <xf numFmtId="0" fontId="49" fillId="8" borderId="3" xfId="0" applyFont="1" applyFill="1" applyBorder="1" applyAlignment="1">
      <alignment horizontal="right"/>
    </xf>
    <xf numFmtId="165" fontId="49" fillId="8" borderId="5" xfId="0" applyNumberFormat="1" applyFont="1" applyFill="1" applyBorder="1"/>
    <xf numFmtId="0" fontId="50" fillId="0" borderId="21" xfId="0" applyFont="1" applyBorder="1"/>
    <xf numFmtId="0" fontId="49" fillId="8" borderId="22" xfId="0" applyFont="1" applyFill="1" applyBorder="1"/>
    <xf numFmtId="0" fontId="49" fillId="8" borderId="5" xfId="0" applyFont="1" applyFill="1" applyBorder="1" applyAlignment="1">
      <alignment horizontal="right"/>
    </xf>
    <xf numFmtId="0" fontId="50" fillId="0" borderId="23" xfId="0" applyFont="1" applyBorder="1"/>
    <xf numFmtId="0" fontId="50" fillId="0" borderId="24" xfId="0" applyFont="1" applyBorder="1"/>
    <xf numFmtId="0" fontId="50" fillId="0" borderId="25" xfId="0" applyFont="1" applyBorder="1"/>
    <xf numFmtId="0" fontId="33" fillId="0" borderId="46" xfId="42" applyFont="1" applyFill="1" applyBorder="1" applyAlignment="1">
      <alignment horizontal="left" wrapText="1"/>
    </xf>
    <xf numFmtId="170" fontId="33" fillId="0" borderId="46" xfId="36" applyFont="1" applyFill="1" applyBorder="1"/>
    <xf numFmtId="0" fontId="44" fillId="0" borderId="46" xfId="39" applyFont="1" applyBorder="1" applyAlignment="1">
      <alignment wrapText="1"/>
    </xf>
    <xf numFmtId="0" fontId="25" fillId="0" borderId="46" xfId="8" applyBorder="1"/>
    <xf numFmtId="0" fontId="11" fillId="0" borderId="33" xfId="0" applyFont="1" applyBorder="1" applyAlignment="1"/>
    <xf numFmtId="11" fontId="11" fillId="0" borderId="33" xfId="0" applyNumberFormat="1" applyFont="1" applyBorder="1" applyAlignment="1"/>
    <xf numFmtId="173" fontId="11" fillId="0" borderId="33" xfId="7" applyNumberFormat="1" applyFont="1" applyBorder="1" applyAlignment="1" applyProtection="1"/>
    <xf numFmtId="168" fontId="11" fillId="0" borderId="33" xfId="7" applyNumberFormat="1" applyFont="1" applyBorder="1" applyAlignment="1" applyProtection="1"/>
    <xf numFmtId="165" fontId="10" fillId="7" borderId="5" xfId="0" applyNumberFormat="1" applyFont="1" applyFill="1" applyBorder="1"/>
    <xf numFmtId="0" fontId="11" fillId="0" borderId="46" xfId="0" applyFont="1" applyBorder="1"/>
    <xf numFmtId="0" fontId="33" fillId="0" borderId="46" xfId="31" applyFont="1" applyFill="1" applyBorder="1"/>
    <xf numFmtId="0" fontId="33" fillId="0" borderId="46" xfId="31" applyFont="1" applyFill="1" applyBorder="1" applyAlignment="1">
      <alignment wrapText="1"/>
    </xf>
    <xf numFmtId="165" fontId="11" fillId="0" borderId="46" xfId="7" applyNumberFormat="1" applyFont="1" applyBorder="1" applyAlignment="1" applyProtection="1"/>
    <xf numFmtId="164" fontId="11" fillId="0" borderId="46" xfId="7" applyNumberFormat="1" applyFont="1" applyBorder="1" applyAlignment="1" applyProtection="1"/>
    <xf numFmtId="2" fontId="11" fillId="0" borderId="46" xfId="7" applyNumberFormat="1" applyFont="1" applyBorder="1" applyAlignment="1" applyProtection="1"/>
    <xf numFmtId="169" fontId="11" fillId="0" borderId="46" xfId="7" applyNumberFormat="1" applyFont="1" applyBorder="1" applyAlignment="1" applyProtection="1"/>
    <xf numFmtId="0" fontId="0" fillId="0" borderId="46" xfId="0" applyBorder="1" applyAlignment="1"/>
    <xf numFmtId="185" fontId="11" fillId="0" borderId="16" xfId="7" applyNumberFormat="1" applyFont="1" applyBorder="1" applyAlignment="1" applyProtection="1"/>
    <xf numFmtId="0" fontId="44" fillId="0" borderId="17" xfId="33" applyFont="1" applyBorder="1"/>
    <xf numFmtId="0" fontId="44" fillId="0" borderId="18" xfId="33" applyFont="1" applyBorder="1"/>
    <xf numFmtId="0" fontId="44" fillId="0" borderId="19" xfId="33" applyFont="1" applyBorder="1"/>
    <xf numFmtId="0" fontId="45" fillId="8" borderId="16" xfId="33" applyFont="1" applyFill="1" applyBorder="1"/>
    <xf numFmtId="0" fontId="44" fillId="0" borderId="0" xfId="33" applyFont="1" applyBorder="1"/>
    <xf numFmtId="0" fontId="52" fillId="0" borderId="0" xfId="8" applyFont="1" applyBorder="1"/>
    <xf numFmtId="0" fontId="45" fillId="8" borderId="16" xfId="33" applyFont="1" applyFill="1" applyBorder="1" applyAlignment="1">
      <alignment horizontal="left"/>
    </xf>
    <xf numFmtId="0" fontId="44" fillId="0" borderId="16" xfId="33" applyFont="1" applyBorder="1" applyAlignment="1">
      <alignment horizontal="right"/>
    </xf>
    <xf numFmtId="165" fontId="44" fillId="0" borderId="16" xfId="7" applyNumberFormat="1" applyFont="1" applyBorder="1" applyAlignment="1" applyProtection="1"/>
    <xf numFmtId="0" fontId="44" fillId="0" borderId="20" xfId="33" applyFont="1" applyBorder="1"/>
    <xf numFmtId="0" fontId="52" fillId="0" borderId="0" xfId="8" applyFont="1"/>
    <xf numFmtId="37" fontId="44" fillId="0" borderId="16" xfId="7" applyNumberFormat="1" applyFont="1" applyBorder="1" applyAlignment="1" applyProtection="1"/>
    <xf numFmtId="0" fontId="45" fillId="8" borderId="2" xfId="33" applyFont="1" applyFill="1" applyBorder="1"/>
    <xf numFmtId="0" fontId="44" fillId="0" borderId="0" xfId="33" applyFont="1" applyBorder="1" applyAlignment="1">
      <alignment horizontal="left"/>
    </xf>
    <xf numFmtId="49" fontId="44" fillId="0" borderId="0" xfId="33" applyNumberFormat="1" applyFont="1" applyBorder="1" applyAlignment="1">
      <alignment horizontal="left"/>
    </xf>
    <xf numFmtId="0" fontId="45" fillId="0" borderId="26" xfId="33" applyFont="1" applyBorder="1"/>
    <xf numFmtId="0" fontId="45" fillId="0" borderId="4" xfId="33" applyFont="1" applyBorder="1"/>
    <xf numFmtId="0" fontId="45" fillId="8" borderId="27" xfId="33" applyFont="1" applyFill="1" applyBorder="1"/>
    <xf numFmtId="0" fontId="45" fillId="8" borderId="5" xfId="33" applyFont="1" applyFill="1" applyBorder="1"/>
    <xf numFmtId="0" fontId="45" fillId="8" borderId="3" xfId="33" applyFont="1" applyFill="1" applyBorder="1"/>
    <xf numFmtId="0" fontId="44" fillId="0" borderId="22" xfId="0" applyFont="1" applyBorder="1" applyAlignment="1"/>
    <xf numFmtId="0" fontId="44" fillId="0" borderId="3" xfId="0" applyFont="1" applyBorder="1"/>
    <xf numFmtId="0" fontId="44" fillId="0" borderId="3" xfId="0" applyFont="1" applyBorder="1" applyAlignment="1"/>
    <xf numFmtId="165" fontId="44" fillId="0" borderId="3" xfId="7" applyNumberFormat="1" applyFont="1" applyBorder="1" applyAlignment="1" applyProtection="1"/>
    <xf numFmtId="176" fontId="44" fillId="0" borderId="3" xfId="0" applyNumberFormat="1" applyFont="1" applyBorder="1" applyAlignment="1"/>
    <xf numFmtId="164" fontId="44" fillId="0" borderId="3" xfId="7" applyNumberFormat="1" applyFont="1" applyBorder="1" applyAlignment="1" applyProtection="1"/>
    <xf numFmtId="11" fontId="44" fillId="0" borderId="3" xfId="0" applyNumberFormat="1" applyFont="1" applyBorder="1" applyAlignment="1"/>
    <xf numFmtId="2" fontId="44" fillId="0" borderId="16" xfId="7" applyNumberFormat="1" applyFont="1" applyBorder="1" applyAlignment="1" applyProtection="1"/>
    <xf numFmtId="179" fontId="44" fillId="0" borderId="16" xfId="7" applyNumberFormat="1" applyFont="1" applyBorder="1" applyAlignment="1" applyProtection="1"/>
    <xf numFmtId="0" fontId="44" fillId="0" borderId="16" xfId="0" applyFont="1" applyBorder="1" applyAlignment="1"/>
    <xf numFmtId="1" fontId="44" fillId="0" borderId="3" xfId="7" applyNumberFormat="1" applyFont="1" applyBorder="1" applyAlignment="1" applyProtection="1"/>
    <xf numFmtId="0" fontId="44" fillId="0" borderId="20" xfId="33" applyFont="1" applyBorder="1" applyAlignment="1"/>
    <xf numFmtId="0" fontId="45" fillId="0" borderId="21" xfId="33" applyFont="1" applyBorder="1"/>
    <xf numFmtId="0" fontId="45" fillId="0" borderId="0" xfId="33" applyFont="1" applyBorder="1"/>
    <xf numFmtId="0" fontId="45" fillId="8" borderId="3" xfId="33" applyFont="1" applyFill="1" applyBorder="1" applyAlignment="1">
      <alignment horizontal="right"/>
    </xf>
    <xf numFmtId="165" fontId="45" fillId="8" borderId="5" xfId="33" applyNumberFormat="1" applyFont="1" applyFill="1" applyBorder="1"/>
    <xf numFmtId="0" fontId="44" fillId="0" borderId="21" xfId="33" applyFont="1" applyBorder="1"/>
    <xf numFmtId="0" fontId="45" fillId="8" borderId="22" xfId="33" applyFont="1" applyFill="1" applyBorder="1"/>
    <xf numFmtId="0" fontId="44" fillId="0" borderId="22" xfId="33" applyFont="1" applyBorder="1" applyAlignment="1">
      <alignment wrapText="1"/>
    </xf>
    <xf numFmtId="0" fontId="44" fillId="0" borderId="3" xfId="7" applyNumberFormat="1" applyFont="1" applyBorder="1" applyAlignment="1">
      <alignment wrapText="1"/>
    </xf>
    <xf numFmtId="0" fontId="44" fillId="0" borderId="3" xfId="33" applyFont="1" applyBorder="1" applyAlignment="1">
      <alignment wrapText="1"/>
    </xf>
    <xf numFmtId="165" fontId="44" fillId="0" borderId="3" xfId="7" applyNumberFormat="1" applyFont="1" applyBorder="1" applyAlignment="1" applyProtection="1">
      <alignment wrapText="1"/>
    </xf>
    <xf numFmtId="0" fontId="44" fillId="0" borderId="0" xfId="33" applyFont="1" applyBorder="1" applyAlignment="1">
      <alignment wrapText="1"/>
    </xf>
    <xf numFmtId="0" fontId="44" fillId="0" borderId="20" xfId="33" applyFont="1" applyBorder="1" applyAlignment="1">
      <alignment wrapText="1"/>
    </xf>
    <xf numFmtId="0" fontId="44" fillId="0" borderId="22" xfId="33" applyFont="1" applyBorder="1"/>
    <xf numFmtId="0" fontId="44" fillId="0" borderId="6" xfId="30" applyFont="1" applyFill="1" applyBorder="1" applyAlignment="1">
      <alignment wrapText="1"/>
    </xf>
    <xf numFmtId="0" fontId="44" fillId="0" borderId="3" xfId="33" applyFont="1" applyBorder="1"/>
    <xf numFmtId="0" fontId="44" fillId="0" borderId="3" xfId="33" applyNumberFormat="1" applyFont="1" applyBorder="1"/>
    <xf numFmtId="0" fontId="45" fillId="8" borderId="5" xfId="33" applyFont="1" applyFill="1" applyBorder="1" applyAlignment="1">
      <alignment horizontal="right"/>
    </xf>
    <xf numFmtId="0" fontId="44" fillId="0" borderId="23" xfId="33" applyFont="1" applyBorder="1"/>
    <xf numFmtId="0" fontId="44" fillId="0" borderId="24" xfId="33" applyFont="1" applyBorder="1"/>
    <xf numFmtId="0" fontId="44" fillId="0" borderId="25" xfId="33" applyFont="1" applyBorder="1"/>
    <xf numFmtId="0" fontId="48" fillId="0" borderId="46" xfId="42" applyFont="1" applyFill="1" applyBorder="1" applyAlignment="1">
      <alignment horizontal="left" wrapText="1"/>
    </xf>
    <xf numFmtId="0" fontId="10" fillId="8" borderId="46" xfId="0" applyFont="1" applyFill="1" applyBorder="1"/>
    <xf numFmtId="0" fontId="48" fillId="0" borderId="47" xfId="42" applyFont="1" applyFill="1" applyBorder="1" applyAlignment="1">
      <alignment wrapText="1"/>
    </xf>
    <xf numFmtId="0" fontId="44" fillId="0" borderId="46" xfId="30" applyFont="1" applyFill="1" applyBorder="1" applyAlignment="1"/>
    <xf numFmtId="0" fontId="48" fillId="0" borderId="46" xfId="42" applyFont="1" applyFill="1" applyBorder="1" applyAlignment="1" applyProtection="1"/>
    <xf numFmtId="0" fontId="44" fillId="13" borderId="46" xfId="42" applyFont="1" applyFill="1" applyBorder="1" applyAlignment="1">
      <alignment wrapText="1"/>
    </xf>
    <xf numFmtId="0" fontId="33" fillId="0" borderId="0" xfId="0" applyFont="1" applyFill="1" applyBorder="1"/>
    <xf numFmtId="0" fontId="10" fillId="7" borderId="33" xfId="0" applyFont="1" applyFill="1" applyBorder="1"/>
    <xf numFmtId="37" fontId="11" fillId="0" borderId="46" xfId="0" applyNumberFormat="1" applyFont="1" applyBorder="1"/>
    <xf numFmtId="11" fontId="11" fillId="0" borderId="46" xfId="0" applyNumberFormat="1" applyFont="1" applyBorder="1"/>
    <xf numFmtId="167" fontId="11" fillId="0" borderId="46" xfId="7" applyNumberFormat="1" applyFont="1" applyBorder="1" applyAlignment="1" applyProtection="1"/>
    <xf numFmtId="0" fontId="11" fillId="0" borderId="46" xfId="0" applyFont="1" applyBorder="1" applyAlignment="1">
      <alignment wrapText="1"/>
    </xf>
    <xf numFmtId="0" fontId="11" fillId="0" borderId="46" xfId="0" applyFont="1" applyBorder="1" applyAlignment="1"/>
    <xf numFmtId="11" fontId="11" fillId="0" borderId="46" xfId="0" applyNumberFormat="1" applyFont="1" applyBorder="1" applyAlignment="1"/>
    <xf numFmtId="173" fontId="11" fillId="0" borderId="46" xfId="7" applyNumberFormat="1" applyFont="1" applyBorder="1" applyAlignment="1" applyProtection="1"/>
    <xf numFmtId="168" fontId="11" fillId="0" borderId="46" xfId="7" applyNumberFormat="1" applyFont="1" applyBorder="1" applyAlignment="1" applyProtection="1"/>
    <xf numFmtId="0" fontId="0" fillId="0" borderId="46" xfId="0" applyBorder="1"/>
    <xf numFmtId="0" fontId="33" fillId="0" borderId="46" xfId="0" applyFont="1" applyFill="1" applyBorder="1" applyAlignment="1" applyProtection="1">
      <alignment vertical="center" wrapText="1"/>
    </xf>
    <xf numFmtId="0" fontId="10" fillId="7" borderId="34" xfId="0" applyFont="1" applyFill="1" applyBorder="1"/>
    <xf numFmtId="0" fontId="33" fillId="0" borderId="16" xfId="0" applyFont="1" applyFill="1" applyBorder="1"/>
    <xf numFmtId="0" fontId="33" fillId="0" borderId="45" xfId="30" applyFont="1" applyFill="1" applyBorder="1" applyAlignment="1">
      <alignment wrapText="1"/>
    </xf>
    <xf numFmtId="165" fontId="33" fillId="0" borderId="16" xfId="7" applyNumberFormat="1" applyFont="1" applyBorder="1" applyAlignment="1" applyProtection="1"/>
    <xf numFmtId="0" fontId="33" fillId="0" borderId="3" xfId="46" applyFont="1" applyFill="1" applyBorder="1"/>
    <xf numFmtId="0" fontId="33" fillId="0" borderId="3" xfId="46" applyNumberFormat="1" applyFont="1" applyFill="1" applyBorder="1"/>
    <xf numFmtId="0" fontId="33" fillId="0" borderId="16" xfId="0" applyFont="1" applyBorder="1"/>
    <xf numFmtId="0" fontId="33" fillId="0" borderId="33" xfId="0" applyFont="1" applyBorder="1"/>
    <xf numFmtId="0" fontId="33" fillId="0" borderId="53" xfId="30" applyFont="1" applyFill="1" applyBorder="1" applyAlignment="1">
      <alignment wrapText="1"/>
    </xf>
    <xf numFmtId="165" fontId="33" fillId="0" borderId="33" xfId="7" applyNumberFormat="1" applyFont="1" applyBorder="1" applyAlignment="1" applyProtection="1"/>
    <xf numFmtId="0" fontId="33" fillId="0" borderId="33" xfId="7" applyNumberFormat="1" applyFont="1" applyBorder="1" applyAlignment="1">
      <alignment wrapText="1"/>
    </xf>
    <xf numFmtId="0" fontId="33" fillId="0" borderId="3" xfId="0" applyFont="1" applyBorder="1"/>
    <xf numFmtId="0" fontId="33" fillId="0" borderId="3" xfId="0" applyNumberFormat="1" applyFont="1" applyFill="1" applyBorder="1"/>
    <xf numFmtId="165" fontId="33" fillId="0" borderId="3" xfId="7" applyNumberFormat="1" applyFont="1" applyBorder="1" applyAlignment="1" applyProtection="1"/>
    <xf numFmtId="0" fontId="33" fillId="0" borderId="3" xfId="7" applyNumberFormat="1" applyFont="1" applyBorder="1" applyAlignment="1">
      <alignment wrapText="1"/>
    </xf>
    <xf numFmtId="186" fontId="11" fillId="0" borderId="16" xfId="0" applyNumberFormat="1" applyFont="1" applyBorder="1"/>
    <xf numFmtId="0" fontId="11" fillId="0" borderId="16" xfId="7" applyNumberFormat="1" applyFont="1" applyBorder="1" applyAlignment="1" applyProtection="1">
      <alignment vertical="center" wrapText="1"/>
    </xf>
    <xf numFmtId="39" fontId="11" fillId="0" borderId="16" xfId="7" applyNumberFormat="1" applyFont="1" applyBorder="1" applyAlignment="1" applyProtection="1"/>
    <xf numFmtId="0" fontId="33" fillId="0" borderId="3" xfId="47" applyFont="1" applyFill="1" applyBorder="1"/>
    <xf numFmtId="0" fontId="33" fillId="0" borderId="0" xfId="0" applyNumberFormat="1" applyFont="1" applyFill="1" applyBorder="1"/>
    <xf numFmtId="0" fontId="22" fillId="0" borderId="0" xfId="30" applyFont="1" applyFill="1" applyBorder="1" applyAlignment="1">
      <alignment wrapText="1"/>
    </xf>
    <xf numFmtId="0" fontId="11" fillId="0" borderId="3" xfId="0" applyFont="1" applyBorder="1" applyAlignment="1" applyProtection="1"/>
    <xf numFmtId="187" fontId="11" fillId="0" borderId="3" xfId="0" applyNumberFormat="1" applyFont="1" applyBorder="1" applyAlignment="1"/>
    <xf numFmtId="188" fontId="11" fillId="0" borderId="3" xfId="7" applyNumberFormat="1" applyFont="1" applyBorder="1" applyAlignment="1" applyProtection="1"/>
    <xf numFmtId="168" fontId="11" fillId="0" borderId="3" xfId="7" applyNumberFormat="1" applyFont="1" applyBorder="1" applyAlignment="1" applyProtection="1"/>
    <xf numFmtId="3" fontId="0" fillId="0" borderId="3" xfId="0" applyNumberFormat="1" applyBorder="1" applyAlignment="1"/>
    <xf numFmtId="189" fontId="10" fillId="0" borderId="0" xfId="0" applyNumberFormat="1" applyFont="1" applyBorder="1"/>
    <xf numFmtId="0" fontId="11" fillId="0" borderId="3" xfId="0" applyFont="1" applyBorder="1"/>
    <xf numFmtId="0" fontId="0" fillId="0" borderId="5" xfId="0" applyBorder="1"/>
    <xf numFmtId="165" fontId="11" fillId="0" borderId="5" xfId="7" applyNumberFormat="1" applyFont="1" applyBorder="1" applyAlignment="1" applyProtection="1"/>
    <xf numFmtId="37" fontId="18" fillId="9" borderId="3" xfId="1" applyNumberFormat="1" applyFont="1" applyFill="1" applyBorder="1" applyAlignment="1" applyProtection="1">
      <alignment horizontal="center"/>
      <protection locked="0"/>
    </xf>
    <xf numFmtId="37" fontId="18" fillId="10" borderId="3" xfId="1" applyNumberFormat="1" applyFont="1" applyFill="1" applyBorder="1" applyAlignment="1" applyProtection="1">
      <alignment horizontal="center"/>
      <protection locked="0"/>
    </xf>
    <xf numFmtId="0" fontId="0" fillId="0" borderId="3" xfId="0" applyBorder="1" applyAlignment="1"/>
    <xf numFmtId="0" fontId="0" fillId="0" borderId="3" xfId="7" applyNumberFormat="1" applyFont="1" applyBorder="1" applyAlignment="1"/>
    <xf numFmtId="0" fontId="22" fillId="0" borderId="45" xfId="30" applyFont="1" applyFill="1" applyBorder="1" applyAlignment="1"/>
    <xf numFmtId="0" fontId="41" fillId="0" borderId="22" xfId="0" applyFont="1" applyBorder="1" applyAlignment="1">
      <alignment wrapText="1"/>
    </xf>
    <xf numFmtId="0" fontId="41" fillId="0" borderId="3" xfId="0" applyFont="1" applyBorder="1" applyAlignment="1"/>
    <xf numFmtId="165" fontId="41" fillId="0" borderId="3" xfId="7" applyNumberFormat="1" applyFont="1" applyBorder="1" applyAlignment="1" applyProtection="1">
      <alignment wrapText="1"/>
    </xf>
    <xf numFmtId="0" fontId="41" fillId="0" borderId="3" xfId="7" applyNumberFormat="1" applyFont="1" applyBorder="1" applyAlignment="1">
      <alignment wrapText="1"/>
    </xf>
    <xf numFmtId="0" fontId="41" fillId="0" borderId="3" xfId="0" applyFont="1" applyBorder="1" applyAlignment="1">
      <alignment wrapText="1"/>
    </xf>
    <xf numFmtId="0" fontId="41" fillId="0" borderId="22" xfId="0" applyFont="1" applyBorder="1"/>
    <xf numFmtId="0" fontId="41" fillId="0" borderId="3" xfId="0" applyFont="1" applyBorder="1"/>
    <xf numFmtId="165" fontId="41" fillId="0" borderId="3" xfId="7" applyNumberFormat="1" applyFont="1" applyBorder="1" applyAlignment="1" applyProtection="1"/>
    <xf numFmtId="175" fontId="41" fillId="0" borderId="3" xfId="0" applyNumberFormat="1" applyFont="1" applyBorder="1"/>
    <xf numFmtId="0" fontId="18" fillId="9" borderId="46" xfId="1" applyFont="1" applyFill="1" applyBorder="1" applyProtection="1">
      <protection locked="0"/>
    </xf>
    <xf numFmtId="0" fontId="18" fillId="9" borderId="46" xfId="1" applyFont="1" applyFill="1" applyBorder="1" applyAlignment="1">
      <alignment horizontal="left"/>
    </xf>
    <xf numFmtId="18" fontId="18" fillId="9" borderId="46" xfId="1" applyNumberFormat="1" applyFont="1" applyFill="1" applyBorder="1" applyAlignment="1" applyProtection="1">
      <protection locked="0"/>
    </xf>
    <xf numFmtId="0" fontId="25" fillId="9" borderId="46" xfId="8" applyFill="1" applyBorder="1" applyAlignment="1">
      <alignment horizontal="left"/>
    </xf>
    <xf numFmtId="172" fontId="18" fillId="9" borderId="46" xfId="5" applyNumberFormat="1" applyFont="1" applyFill="1" applyBorder="1" applyProtection="1">
      <protection locked="0"/>
    </xf>
    <xf numFmtId="37" fontId="18" fillId="9" borderId="46" xfId="1" applyNumberFormat="1" applyFont="1" applyFill="1" applyBorder="1" applyAlignment="1" applyProtection="1">
      <alignment horizontal="center"/>
      <protection locked="0"/>
    </xf>
    <xf numFmtId="172" fontId="18" fillId="9" borderId="46" xfId="1" applyNumberFormat="1" applyFont="1" applyFill="1" applyBorder="1" applyAlignment="1" applyProtection="1">
      <alignment horizontal="center"/>
      <protection locked="0"/>
    </xf>
    <xf numFmtId="172" fontId="18" fillId="9" borderId="46" xfId="1" applyNumberFormat="1" applyFont="1" applyFill="1" applyBorder="1" applyAlignment="1">
      <alignment horizontal="right"/>
    </xf>
    <xf numFmtId="0" fontId="18" fillId="9" borderId="46" xfId="1" applyFont="1" applyFill="1" applyBorder="1" applyAlignment="1">
      <alignment horizontal="center"/>
    </xf>
    <xf numFmtId="0" fontId="18" fillId="10" borderId="46" xfId="1" applyFont="1" applyFill="1" applyBorder="1" applyAlignment="1">
      <alignment horizontal="left"/>
    </xf>
    <xf numFmtId="172" fontId="18" fillId="10" borderId="46" xfId="5" applyNumberFormat="1" applyFont="1" applyFill="1" applyBorder="1" applyProtection="1">
      <protection locked="0"/>
    </xf>
    <xf numFmtId="37" fontId="18" fillId="10" borderId="46" xfId="1" applyNumberFormat="1" applyFont="1" applyFill="1" applyBorder="1" applyAlignment="1" applyProtection="1">
      <alignment horizontal="center"/>
      <protection locked="0"/>
    </xf>
    <xf numFmtId="172" fontId="18" fillId="10" borderId="46" xfId="1" applyNumberFormat="1" applyFont="1" applyFill="1" applyBorder="1" applyAlignment="1" applyProtection="1">
      <alignment horizontal="center"/>
      <protection locked="0"/>
    </xf>
    <xf numFmtId="172" fontId="18" fillId="10" borderId="46" xfId="1" applyNumberFormat="1" applyFont="1" applyFill="1" applyBorder="1" applyAlignment="1">
      <alignment horizontal="right"/>
    </xf>
    <xf numFmtId="0" fontId="18" fillId="10" borderId="46" xfId="1" applyFont="1" applyFill="1" applyBorder="1" applyAlignment="1" applyProtection="1">
      <alignment horizontal="center"/>
      <protection locked="0"/>
    </xf>
    <xf numFmtId="0" fontId="10" fillId="7" borderId="51" xfId="0" applyFont="1" applyFill="1" applyBorder="1"/>
    <xf numFmtId="0" fontId="25" fillId="0" borderId="0" xfId="8" applyNumberFormat="1" applyBorder="1" applyAlignment="1" applyProtection="1"/>
    <xf numFmtId="0" fontId="0" fillId="0" borderId="44" xfId="0" applyBorder="1"/>
    <xf numFmtId="0" fontId="10" fillId="7" borderId="54" xfId="0" applyFont="1" applyFill="1" applyBorder="1"/>
    <xf numFmtId="0" fontId="11" fillId="0" borderId="55" xfId="0" applyFont="1" applyBorder="1"/>
    <xf numFmtId="0" fontId="25" fillId="0" borderId="3" xfId="8" applyNumberFormat="1" applyBorder="1" applyAlignment="1" applyProtection="1"/>
    <xf numFmtId="37" fontId="11" fillId="0" borderId="3" xfId="0" applyNumberFormat="1" applyFont="1" applyBorder="1"/>
    <xf numFmtId="0" fontId="25" fillId="0" borderId="3" xfId="8" applyBorder="1"/>
    <xf numFmtId="0" fontId="25" fillId="0" borderId="3" xfId="8" applyNumberFormat="1" applyFill="1" applyBorder="1" applyAlignment="1" applyProtection="1"/>
    <xf numFmtId="0" fontId="11" fillId="0" borderId="43" xfId="7" applyNumberFormat="1" applyFont="1" applyBorder="1" applyAlignment="1"/>
    <xf numFmtId="0" fontId="11" fillId="0" borderId="55" xfId="0" applyFont="1" applyFill="1" applyBorder="1"/>
    <xf numFmtId="0" fontId="11" fillId="0" borderId="51" xfId="0" applyFont="1" applyBorder="1"/>
    <xf numFmtId="0" fontId="11" fillId="0" borderId="16" xfId="0" applyFont="1" applyBorder="1" applyAlignment="1">
      <alignment wrapText="1"/>
    </xf>
    <xf numFmtId="0" fontId="11" fillId="0" borderId="16" xfId="0" applyFont="1" applyBorder="1" applyAlignment="1"/>
    <xf numFmtId="11" fontId="11" fillId="0" borderId="16" xfId="0" applyNumberFormat="1" applyFont="1" applyBorder="1" applyAlignment="1"/>
    <xf numFmtId="0" fontId="0" fillId="0" borderId="43" xfId="0" applyBorder="1" applyAlignment="1"/>
    <xf numFmtId="0" fontId="10" fillId="0" borderId="44" xfId="0" applyFont="1" applyBorder="1"/>
    <xf numFmtId="0" fontId="0" fillId="0" borderId="43" xfId="0" applyBorder="1" applyAlignment="1">
      <alignment wrapText="1"/>
    </xf>
    <xf numFmtId="0" fontId="0" fillId="0" borderId="16" xfId="0" applyBorder="1"/>
    <xf numFmtId="0" fontId="0" fillId="0" borderId="16" xfId="7" applyNumberFormat="1" applyFont="1" applyBorder="1" applyAlignment="1">
      <alignment wrapText="1"/>
    </xf>
    <xf numFmtId="0" fontId="0" fillId="0" borderId="43" xfId="0" applyFont="1" applyBorder="1"/>
    <xf numFmtId="0" fontId="11" fillId="0" borderId="54" xfId="0" applyFont="1" applyBorder="1"/>
    <xf numFmtId="0" fontId="0" fillId="0" borderId="33" xfId="7" applyNumberFormat="1" applyFont="1" applyBorder="1" applyAlignment="1">
      <alignment wrapText="1"/>
    </xf>
    <xf numFmtId="0" fontId="0" fillId="0" borderId="33" xfId="0" applyBorder="1"/>
    <xf numFmtId="0" fontId="22" fillId="0" borderId="3" xfId="30" applyFont="1" applyFill="1" applyBorder="1" applyAlignment="1">
      <alignment wrapText="1"/>
    </xf>
    <xf numFmtId="0" fontId="11" fillId="0" borderId="56" xfId="0" applyFont="1" applyBorder="1"/>
    <xf numFmtId="0" fontId="33" fillId="0" borderId="3" xfId="49" applyNumberFormat="1" applyFont="1" applyFill="1" applyBorder="1"/>
    <xf numFmtId="0" fontId="43" fillId="17" borderId="3" xfId="49" applyFont="1" applyFill="1" applyBorder="1"/>
    <xf numFmtId="0" fontId="38" fillId="0" borderId="0" xfId="49" applyFont="1" applyBorder="1"/>
    <xf numFmtId="0" fontId="43" fillId="17" borderId="3" xfId="49" applyFont="1" applyFill="1" applyBorder="1" applyAlignment="1">
      <alignment horizontal="left"/>
    </xf>
    <xf numFmtId="0" fontId="38" fillId="0" borderId="0" xfId="49" applyFont="1" applyBorder="1" applyAlignment="1">
      <alignment horizontal="right"/>
    </xf>
    <xf numFmtId="165" fontId="38" fillId="0" borderId="0" xfId="49" applyNumberFormat="1" applyFont="1" applyBorder="1"/>
    <xf numFmtId="37" fontId="38" fillId="0" borderId="0" xfId="49" applyNumberFormat="1" applyFont="1" applyBorder="1"/>
    <xf numFmtId="0" fontId="11" fillId="0" borderId="0" xfId="7" applyNumberFormat="1" applyFont="1" applyBorder="1" applyAlignment="1" applyProtection="1"/>
    <xf numFmtId="0" fontId="38" fillId="0" borderId="44" xfId="49" applyFont="1" applyBorder="1"/>
    <xf numFmtId="0" fontId="43" fillId="17" borderId="57" xfId="49" applyFont="1" applyFill="1" applyBorder="1"/>
    <xf numFmtId="0" fontId="43" fillId="17" borderId="58" xfId="49" applyFont="1" applyFill="1" applyBorder="1"/>
    <xf numFmtId="0" fontId="38" fillId="0" borderId="59" xfId="49" applyFont="1" applyBorder="1"/>
    <xf numFmtId="0" fontId="33" fillId="0" borderId="0" xfId="0" applyFont="1" applyFill="1" applyBorder="1" applyAlignment="1" applyProtection="1">
      <alignment vertical="center" wrapText="1"/>
    </xf>
    <xf numFmtId="0" fontId="38" fillId="0" borderId="60" xfId="49" applyFont="1" applyBorder="1"/>
    <xf numFmtId="165" fontId="38" fillId="0" borderId="60" xfId="49" applyNumberFormat="1" applyFont="1" applyBorder="1"/>
    <xf numFmtId="190" fontId="38" fillId="0" borderId="60" xfId="49" applyNumberFormat="1" applyFont="1" applyBorder="1"/>
    <xf numFmtId="164" fontId="38" fillId="0" borderId="60" xfId="49" applyNumberFormat="1" applyFont="1" applyBorder="1"/>
    <xf numFmtId="11" fontId="38" fillId="0" borderId="60" xfId="49" applyNumberFormat="1" applyFont="1" applyBorder="1"/>
    <xf numFmtId="191" fontId="38" fillId="0" borderId="60" xfId="49" applyNumberFormat="1" applyFont="1" applyBorder="1"/>
    <xf numFmtId="0" fontId="38" fillId="0" borderId="60" xfId="49" applyNumberFormat="1" applyFont="1" applyBorder="1"/>
    <xf numFmtId="0" fontId="43" fillId="0" borderId="44" xfId="49" applyFont="1" applyBorder="1"/>
    <xf numFmtId="0" fontId="43" fillId="0" borderId="0" xfId="49" applyFont="1" applyBorder="1"/>
    <xf numFmtId="0" fontId="43" fillId="17" borderId="61" xfId="49" applyFont="1" applyFill="1" applyBorder="1" applyAlignment="1">
      <alignment horizontal="right"/>
    </xf>
    <xf numFmtId="192" fontId="43" fillId="17" borderId="60" xfId="49" applyNumberFormat="1" applyFont="1" applyFill="1" applyBorder="1"/>
    <xf numFmtId="165" fontId="43" fillId="17" borderId="60" xfId="49" applyNumberFormat="1" applyFont="1" applyFill="1" applyBorder="1"/>
    <xf numFmtId="0" fontId="38" fillId="0" borderId="48" xfId="49" applyFont="1" applyBorder="1"/>
    <xf numFmtId="0" fontId="38" fillId="0" borderId="49" xfId="49" applyFont="1" applyBorder="1"/>
    <xf numFmtId="0" fontId="38" fillId="0" borderId="0" xfId="49" applyFont="1"/>
    <xf numFmtId="0" fontId="2" fillId="0" borderId="0" xfId="49"/>
    <xf numFmtId="0" fontId="43" fillId="17" borderId="62" xfId="49" applyFont="1" applyFill="1" applyBorder="1"/>
    <xf numFmtId="0" fontId="43" fillId="17" borderId="2" xfId="49" applyFont="1" applyFill="1" applyBorder="1" applyAlignment="1">
      <alignment horizontal="left"/>
    </xf>
    <xf numFmtId="0" fontId="43" fillId="17" borderId="2" xfId="49" applyFont="1" applyFill="1" applyBorder="1"/>
    <xf numFmtId="0" fontId="43" fillId="17" borderId="63" xfId="49" applyFont="1" applyFill="1" applyBorder="1"/>
    <xf numFmtId="0" fontId="43" fillId="17" borderId="64" xfId="49" applyFont="1" applyFill="1" applyBorder="1"/>
    <xf numFmtId="0" fontId="43" fillId="17" borderId="65" xfId="49" applyFont="1" applyFill="1" applyBorder="1"/>
    <xf numFmtId="0" fontId="43" fillId="17" borderId="66" xfId="49" applyFont="1" applyFill="1" applyBorder="1"/>
    <xf numFmtId="0" fontId="38" fillId="0" borderId="47" xfId="49" applyFont="1" applyBorder="1"/>
    <xf numFmtId="0" fontId="33" fillId="0" borderId="3" xfId="0" applyFont="1" applyFill="1" applyBorder="1" applyAlignment="1" applyProtection="1">
      <alignment vertical="center" wrapText="1"/>
    </xf>
    <xf numFmtId="0" fontId="11" fillId="0" borderId="67" xfId="0" applyFont="1" applyBorder="1" applyAlignment="1"/>
    <xf numFmtId="193" fontId="11" fillId="0" borderId="3" xfId="0" applyNumberFormat="1" applyFont="1" applyBorder="1" applyAlignment="1"/>
    <xf numFmtId="194" fontId="11" fillId="0" borderId="3" xfId="7" applyNumberFormat="1" applyFont="1" applyBorder="1" applyAlignment="1" applyProtection="1"/>
    <xf numFmtId="0" fontId="10" fillId="8" borderId="67" xfId="0" applyFont="1" applyFill="1" applyBorder="1"/>
    <xf numFmtId="0" fontId="38" fillId="0" borderId="61" xfId="49" applyFont="1" applyBorder="1"/>
    <xf numFmtId="0" fontId="38" fillId="0" borderId="60" xfId="49" applyFont="1" applyBorder="1" applyAlignment="1">
      <alignment wrapText="1"/>
    </xf>
    <xf numFmtId="0" fontId="38" fillId="0" borderId="3" xfId="49" applyFont="1" applyBorder="1"/>
    <xf numFmtId="0" fontId="38" fillId="0" borderId="49" xfId="49" applyFont="1" applyBorder="1" applyAlignment="1">
      <alignment horizontal="right"/>
    </xf>
    <xf numFmtId="165" fontId="38" fillId="0" borderId="49" xfId="49" applyNumberFormat="1" applyFont="1" applyBorder="1"/>
    <xf numFmtId="0" fontId="11" fillId="0" borderId="47" xfId="0" applyFont="1" applyBorder="1"/>
    <xf numFmtId="18" fontId="18" fillId="10" borderId="46" xfId="1" applyNumberFormat="1" applyFont="1" applyFill="1" applyBorder="1" applyAlignment="1" applyProtection="1">
      <alignment horizontal="left"/>
      <protection locked="0"/>
    </xf>
    <xf numFmtId="0" fontId="0" fillId="0" borderId="22" xfId="0" applyBorder="1" applyAlignment="1"/>
    <xf numFmtId="175" fontId="11" fillId="0" borderId="3" xfId="0" applyNumberFormat="1" applyFont="1" applyBorder="1" applyAlignment="1"/>
    <xf numFmtId="0" fontId="0" fillId="0" borderId="5" xfId="0" applyBorder="1" applyAlignment="1"/>
    <xf numFmtId="0" fontId="18" fillId="10" borderId="3" xfId="1" applyFont="1" applyFill="1" applyBorder="1" applyAlignment="1">
      <alignment horizontal="left"/>
    </xf>
    <xf numFmtId="0" fontId="11" fillId="0" borderId="3" xfId="0" applyFont="1" applyFill="1" applyBorder="1"/>
    <xf numFmtId="0" fontId="33" fillId="0" borderId="3" xfId="52" applyNumberFormat="1" applyFont="1" applyFill="1" applyBorder="1"/>
    <xf numFmtId="0" fontId="33" fillId="0" borderId="3" xfId="53" applyNumberFormat="1" applyFont="1" applyFill="1" applyBorder="1"/>
    <xf numFmtId="0" fontId="43" fillId="18" borderId="3" xfId="53" applyFont="1" applyFill="1" applyBorder="1"/>
    <xf numFmtId="0" fontId="38" fillId="0" borderId="0" xfId="53" applyFont="1" applyBorder="1"/>
    <xf numFmtId="0" fontId="47" fillId="0" borderId="0" xfId="54" applyBorder="1"/>
    <xf numFmtId="0" fontId="43" fillId="18" borderId="3" xfId="53" applyFont="1" applyFill="1" applyBorder="1" applyAlignment="1">
      <alignment horizontal="left"/>
    </xf>
    <xf numFmtId="0" fontId="38" fillId="0" borderId="0" xfId="53" applyFont="1" applyBorder="1" applyAlignment="1">
      <alignment horizontal="right"/>
    </xf>
    <xf numFmtId="165" fontId="38" fillId="0" borderId="0" xfId="53" applyNumberFormat="1" applyFont="1" applyBorder="1"/>
    <xf numFmtId="37" fontId="38" fillId="0" borderId="0" xfId="53" applyNumberFormat="1" applyFont="1" applyBorder="1"/>
    <xf numFmtId="0" fontId="38" fillId="0" borderId="44" xfId="53" applyFont="1" applyBorder="1"/>
    <xf numFmtId="0" fontId="43" fillId="18" borderId="57" xfId="53" applyFont="1" applyFill="1" applyBorder="1"/>
    <xf numFmtId="0" fontId="43" fillId="18" borderId="58" xfId="53" applyFont="1" applyFill="1" applyBorder="1"/>
    <xf numFmtId="0" fontId="38" fillId="0" borderId="68" xfId="53" applyFont="1" applyBorder="1"/>
    <xf numFmtId="0" fontId="33" fillId="0" borderId="69" xfId="0" applyFont="1" applyFill="1" applyBorder="1" applyAlignment="1" applyProtection="1">
      <alignment vertical="center" wrapText="1"/>
    </xf>
    <xf numFmtId="0" fontId="38" fillId="0" borderId="70" xfId="53" applyFont="1" applyBorder="1"/>
    <xf numFmtId="165" fontId="38" fillId="0" borderId="60" xfId="53" applyNumberFormat="1" applyFont="1" applyBorder="1"/>
    <xf numFmtId="190" fontId="38" fillId="0" borderId="60" xfId="53" applyNumberFormat="1" applyFont="1" applyBorder="1"/>
    <xf numFmtId="0" fontId="38" fillId="0" borderId="60" xfId="53" applyFont="1" applyBorder="1"/>
    <xf numFmtId="164" fontId="38" fillId="0" borderId="60" xfId="53" applyNumberFormat="1" applyFont="1" applyBorder="1"/>
    <xf numFmtId="11" fontId="38" fillId="0" borderId="60" xfId="53" applyNumberFormat="1" applyFont="1" applyBorder="1"/>
    <xf numFmtId="191" fontId="38" fillId="0" borderId="60" xfId="53" applyNumberFormat="1" applyFont="1" applyBorder="1"/>
    <xf numFmtId="0" fontId="38" fillId="0" borderId="60" xfId="53" applyNumberFormat="1" applyFont="1" applyBorder="1"/>
    <xf numFmtId="0" fontId="43" fillId="0" borderId="44" xfId="53" applyFont="1" applyBorder="1"/>
    <xf numFmtId="0" fontId="43" fillId="0" borderId="0" xfId="53" applyFont="1" applyBorder="1"/>
    <xf numFmtId="0" fontId="43" fillId="18" borderId="61" xfId="53" applyFont="1" applyFill="1" applyBorder="1" applyAlignment="1">
      <alignment horizontal="right"/>
    </xf>
    <xf numFmtId="192" fontId="43" fillId="18" borderId="60" xfId="53" applyNumberFormat="1" applyFont="1" applyFill="1" applyBorder="1"/>
    <xf numFmtId="0" fontId="38" fillId="0" borderId="59" xfId="53" applyFont="1" applyBorder="1"/>
    <xf numFmtId="165" fontId="43" fillId="18" borderId="60" xfId="53" applyNumberFormat="1" applyFont="1" applyFill="1" applyBorder="1"/>
    <xf numFmtId="0" fontId="38" fillId="0" borderId="48" xfId="53" applyFont="1" applyBorder="1"/>
    <xf numFmtId="0" fontId="38" fillId="0" borderId="49" xfId="53" applyFont="1" applyBorder="1"/>
    <xf numFmtId="0" fontId="38" fillId="0" borderId="0" xfId="53" applyFont="1"/>
    <xf numFmtId="0" fontId="1" fillId="0" borderId="0" xfId="53"/>
    <xf numFmtId="0" fontId="38" fillId="0" borderId="61" xfId="53" applyFont="1" applyBorder="1"/>
    <xf numFmtId="0" fontId="43" fillId="17" borderId="62" xfId="53" applyFont="1" applyFill="1" applyBorder="1"/>
    <xf numFmtId="0" fontId="43" fillId="17" borderId="2" xfId="53" applyFont="1" applyFill="1" applyBorder="1" applyAlignment="1">
      <alignment horizontal="left"/>
    </xf>
    <xf numFmtId="0" fontId="43" fillId="17" borderId="2" xfId="53" applyFont="1" applyFill="1" applyBorder="1"/>
    <xf numFmtId="0" fontId="43" fillId="17" borderId="63" xfId="53" applyFont="1" applyFill="1" applyBorder="1"/>
    <xf numFmtId="0" fontId="43" fillId="17" borderId="64" xfId="53" applyFont="1" applyFill="1" applyBorder="1"/>
    <xf numFmtId="0" fontId="43" fillId="17" borderId="65" xfId="53" applyFont="1" applyFill="1" applyBorder="1"/>
    <xf numFmtId="0" fontId="43" fillId="17" borderId="66" xfId="53" applyFont="1" applyFill="1" applyBorder="1"/>
    <xf numFmtId="0" fontId="43" fillId="17" borderId="58" xfId="53" applyFont="1" applyFill="1" applyBorder="1"/>
    <xf numFmtId="0" fontId="38" fillId="0" borderId="47" xfId="53" applyFont="1" applyBorder="1"/>
    <xf numFmtId="0" fontId="38" fillId="0" borderId="3" xfId="53" applyFont="1" applyBorder="1"/>
    <xf numFmtId="0" fontId="43" fillId="17" borderId="61" xfId="53" applyFont="1" applyFill="1" applyBorder="1" applyAlignment="1">
      <alignment horizontal="right"/>
    </xf>
    <xf numFmtId="192" fontId="43" fillId="17" borderId="60" xfId="53" applyNumberFormat="1" applyFont="1" applyFill="1" applyBorder="1"/>
    <xf numFmtId="0" fontId="43" fillId="17" borderId="57" xfId="53" applyFont="1" applyFill="1" applyBorder="1"/>
    <xf numFmtId="165" fontId="43" fillId="17" borderId="60" xfId="53" applyNumberFormat="1" applyFont="1" applyFill="1" applyBorder="1"/>
    <xf numFmtId="11" fontId="11" fillId="0" borderId="3" xfId="0" applyNumberFormat="1" applyFont="1" applyBorder="1" applyAlignment="1">
      <alignment wrapText="1"/>
    </xf>
    <xf numFmtId="0" fontId="38" fillId="0" borderId="60" xfId="53" applyFont="1" applyBorder="1" applyAlignment="1">
      <alignment wrapText="1"/>
    </xf>
    <xf numFmtId="37" fontId="11" fillId="0" borderId="3" xfId="0" applyNumberFormat="1" applyFont="1" applyBorder="1" applyAlignment="1">
      <alignment horizontal="right"/>
    </xf>
    <xf numFmtId="0" fontId="11" fillId="0" borderId="3" xfId="0" applyFont="1" applyBorder="1" applyAlignment="1">
      <alignment horizontal="right"/>
    </xf>
    <xf numFmtId="0" fontId="11" fillId="0" borderId="3" xfId="50" applyNumberFormat="1" applyFont="1" applyBorder="1" applyAlignment="1"/>
    <xf numFmtId="169" fontId="11" fillId="0" borderId="16" xfId="7" applyNumberFormat="1" applyFont="1" applyBorder="1" applyAlignment="1" applyProtection="1">
      <alignment horizontal="right"/>
    </xf>
    <xf numFmtId="0" fontId="0" fillId="0" borderId="40" xfId="0" applyFont="1" applyBorder="1"/>
    <xf numFmtId="0" fontId="0" fillId="0" borderId="41" xfId="0" applyFont="1" applyBorder="1"/>
    <xf numFmtId="0" fontId="0" fillId="0" borderId="42" xfId="0" applyFont="1" applyBorder="1"/>
    <xf numFmtId="0" fontId="25" fillId="0" borderId="0" xfId="8" applyFont="1" applyBorder="1"/>
    <xf numFmtId="0" fontId="11" fillId="0" borderId="0" xfId="0" applyFont="1" applyFill="1" applyBorder="1"/>
    <xf numFmtId="0" fontId="0" fillId="0" borderId="44" xfId="0" applyFont="1" applyBorder="1"/>
    <xf numFmtId="0" fontId="0" fillId="0" borderId="46" xfId="0" applyFont="1" applyBorder="1" applyAlignment="1"/>
    <xf numFmtId="0" fontId="0" fillId="0" borderId="43" xfId="0" applyFont="1" applyBorder="1" applyAlignment="1"/>
    <xf numFmtId="0" fontId="0" fillId="0" borderId="47" xfId="0" applyFont="1" applyBorder="1"/>
    <xf numFmtId="0" fontId="11" fillId="0" borderId="46" xfId="0" applyFont="1" applyFill="1" applyBorder="1" applyAlignment="1" applyProtection="1">
      <alignment vertical="center" wrapText="1"/>
    </xf>
    <xf numFmtId="0" fontId="0" fillId="0" borderId="46" xfId="0" applyFont="1" applyBorder="1"/>
    <xf numFmtId="0" fontId="0" fillId="0" borderId="43" xfId="0" applyFont="1" applyBorder="1" applyAlignment="1">
      <alignment wrapText="1"/>
    </xf>
    <xf numFmtId="0" fontId="11" fillId="0" borderId="51" xfId="0" applyFont="1" applyFill="1" applyBorder="1"/>
    <xf numFmtId="0" fontId="11" fillId="0" borderId="45" xfId="30" applyFont="1" applyFill="1" applyBorder="1" applyAlignment="1">
      <alignment wrapText="1"/>
    </xf>
    <xf numFmtId="0" fontId="11" fillId="0" borderId="16" xfId="0" applyFont="1" applyFill="1" applyBorder="1"/>
    <xf numFmtId="0" fontId="11" fillId="0" borderId="55" xfId="46" applyFont="1" applyFill="1" applyBorder="1"/>
    <xf numFmtId="0" fontId="11" fillId="0" borderId="3" xfId="46" applyNumberFormat="1" applyFont="1" applyFill="1" applyBorder="1"/>
    <xf numFmtId="0" fontId="11" fillId="0" borderId="3" xfId="46" applyFont="1" applyFill="1" applyBorder="1"/>
    <xf numFmtId="0" fontId="11" fillId="0" borderId="53" xfId="30" applyFont="1" applyFill="1" applyBorder="1" applyAlignment="1">
      <alignment wrapText="1"/>
    </xf>
    <xf numFmtId="0" fontId="11" fillId="0" borderId="33" xfId="7" applyNumberFormat="1" applyFont="1" applyBorder="1" applyAlignment="1">
      <alignment wrapText="1"/>
    </xf>
    <xf numFmtId="0" fontId="11" fillId="0" borderId="3" xfId="0" applyNumberFormat="1" applyFont="1" applyFill="1" applyBorder="1"/>
    <xf numFmtId="0" fontId="11" fillId="0" borderId="3" xfId="7" applyNumberFormat="1" applyFont="1" applyBorder="1" applyAlignment="1">
      <alignment wrapText="1"/>
    </xf>
    <xf numFmtId="0" fontId="11" fillId="0" borderId="3" xfId="47" applyFont="1" applyFill="1" applyBorder="1"/>
    <xf numFmtId="0" fontId="0" fillId="0" borderId="48" xfId="0" applyFont="1" applyBorder="1"/>
    <xf numFmtId="0" fontId="0" fillId="0" borderId="49" xfId="0" applyFont="1" applyBorder="1"/>
    <xf numFmtId="0" fontId="0" fillId="0" borderId="50" xfId="0" applyFont="1" applyBorder="1"/>
    <xf numFmtId="0" fontId="11" fillId="0" borderId="3" xfId="55" applyFont="1" applyFill="1" applyBorder="1"/>
    <xf numFmtId="170" fontId="11" fillId="0" borderId="3" xfId="36" applyFont="1" applyFill="1" applyBorder="1"/>
    <xf numFmtId="0" fontId="11" fillId="0" borderId="3" xfId="55" applyNumberFormat="1" applyFont="1" applyFill="1" applyBorder="1"/>
    <xf numFmtId="0" fontId="11" fillId="0" borderId="16" xfId="7" applyNumberFormat="1" applyFont="1" applyBorder="1" applyAlignment="1">
      <alignment wrapText="1"/>
    </xf>
    <xf numFmtId="0" fontId="11" fillId="0" borderId="16" xfId="42" applyFont="1" applyBorder="1"/>
    <xf numFmtId="0" fontId="12" fillId="0" borderId="3" xfId="42" applyBorder="1"/>
    <xf numFmtId="0" fontId="1" fillId="0" borderId="16" xfId="7" applyNumberFormat="1" applyFont="1" applyBorder="1" applyAlignment="1">
      <alignment wrapText="1"/>
    </xf>
    <xf numFmtId="0" fontId="33" fillId="0" borderId="3" xfId="42" applyFont="1" applyFill="1" applyBorder="1"/>
    <xf numFmtId="0" fontId="0" fillId="0" borderId="3" xfId="42" applyFont="1" applyBorder="1"/>
    <xf numFmtId="0" fontId="53" fillId="0" borderId="0" xfId="0" applyFont="1" applyBorder="1"/>
    <xf numFmtId="195" fontId="33" fillId="0" borderId="3" xfId="41" applyNumberFormat="1" applyFont="1" applyFill="1" applyBorder="1"/>
    <xf numFmtId="11" fontId="33" fillId="0" borderId="3" xfId="41" applyNumberFormat="1" applyFont="1" applyFill="1" applyBorder="1"/>
    <xf numFmtId="43" fontId="33" fillId="0" borderId="3" xfId="41" applyFont="1" applyFill="1" applyBorder="1"/>
    <xf numFmtId="2" fontId="33" fillId="0" borderId="3" xfId="36" applyNumberFormat="1" applyFont="1" applyFill="1" applyBorder="1"/>
    <xf numFmtId="0" fontId="33" fillId="0" borderId="3" xfId="55" applyFont="1" applyFill="1" applyBorder="1"/>
    <xf numFmtId="11" fontId="33" fillId="0" borderId="3" xfId="55" applyNumberFormat="1" applyFont="1" applyFill="1" applyBorder="1"/>
    <xf numFmtId="0" fontId="38" fillId="0" borderId="0" xfId="55" applyFont="1"/>
    <xf numFmtId="0" fontId="1" fillId="0" borderId="0" xfId="55"/>
    <xf numFmtId="165" fontId="43" fillId="17" borderId="60" xfId="55" applyNumberFormat="1" applyFont="1" applyFill="1" applyBorder="1"/>
    <xf numFmtId="0" fontId="43" fillId="17" borderId="61" xfId="55" applyFont="1" applyFill="1" applyBorder="1" applyAlignment="1">
      <alignment horizontal="right"/>
    </xf>
    <xf numFmtId="0" fontId="11" fillId="0" borderId="3" xfId="42" applyFont="1" applyBorder="1"/>
    <xf numFmtId="190" fontId="11" fillId="0" borderId="3" xfId="42" applyNumberFormat="1" applyFont="1" applyBorder="1"/>
    <xf numFmtId="0" fontId="11" fillId="0" borderId="3" xfId="42" applyFont="1" applyBorder="1" applyAlignment="1">
      <alignment wrapText="1"/>
    </xf>
    <xf numFmtId="0" fontId="38" fillId="0" borderId="61" xfId="55" applyFont="1" applyBorder="1"/>
    <xf numFmtId="0" fontId="43" fillId="17" borderId="58" xfId="55" applyFont="1" applyFill="1" applyBorder="1"/>
    <xf numFmtId="192" fontId="43" fillId="17" borderId="60" xfId="55" applyNumberFormat="1" applyFont="1" applyFill="1" applyBorder="1"/>
    <xf numFmtId="165" fontId="38" fillId="0" borderId="60" xfId="55" applyNumberFormat="1" applyFont="1" applyBorder="1"/>
    <xf numFmtId="0" fontId="38" fillId="0" borderId="60" xfId="55" applyNumberFormat="1" applyFont="1" applyBorder="1"/>
    <xf numFmtId="191" fontId="38" fillId="0" borderId="60" xfId="55" applyNumberFormat="1" applyFont="1" applyBorder="1"/>
    <xf numFmtId="11" fontId="38" fillId="0" borderId="60" xfId="55" applyNumberFormat="1" applyFont="1" applyBorder="1"/>
    <xf numFmtId="164" fontId="38" fillId="0" borderId="60" xfId="55" applyNumberFormat="1" applyFont="1" applyBorder="1"/>
    <xf numFmtId="0" fontId="38" fillId="0" borderId="60" xfId="55" applyFont="1" applyBorder="1"/>
    <xf numFmtId="190" fontId="38" fillId="0" borderId="60" xfId="55" applyNumberFormat="1" applyFont="1" applyBorder="1"/>
    <xf numFmtId="0" fontId="38" fillId="0" borderId="70" xfId="55" applyFont="1" applyBorder="1"/>
    <xf numFmtId="0" fontId="43" fillId="17" borderId="64" xfId="55" applyFont="1" applyFill="1" applyBorder="1"/>
    <xf numFmtId="0" fontId="43" fillId="17" borderId="2" xfId="55" applyFont="1" applyFill="1" applyBorder="1"/>
    <xf numFmtId="0" fontId="43" fillId="17" borderId="2" xfId="55" applyFont="1" applyFill="1" applyBorder="1" applyAlignment="1">
      <alignment horizontal="left"/>
    </xf>
    <xf numFmtId="0" fontId="12" fillId="0" borderId="50" xfId="42" applyBorder="1"/>
    <xf numFmtId="0" fontId="12" fillId="0" borderId="49" xfId="42" applyBorder="1"/>
    <xf numFmtId="0" fontId="12" fillId="0" borderId="48" xfId="42" applyBorder="1"/>
    <xf numFmtId="0" fontId="12" fillId="0" borderId="43" xfId="42" applyBorder="1"/>
    <xf numFmtId="0" fontId="12" fillId="0" borderId="44" xfId="42" applyBorder="1"/>
    <xf numFmtId="0" fontId="43" fillId="0" borderId="0" xfId="55" applyFont="1" applyBorder="1"/>
    <xf numFmtId="0" fontId="43" fillId="0" borderId="44" xfId="55" applyFont="1" applyBorder="1"/>
    <xf numFmtId="0" fontId="12" fillId="0" borderId="43" xfId="42" applyFont="1" applyBorder="1"/>
    <xf numFmtId="1" fontId="33" fillId="0" borderId="3" xfId="42" applyNumberFormat="1" applyFont="1" applyFill="1" applyBorder="1"/>
    <xf numFmtId="0" fontId="33" fillId="0" borderId="3" xfId="42" applyFont="1" applyFill="1" applyBorder="1" applyAlignment="1">
      <alignment wrapText="1"/>
    </xf>
    <xf numFmtId="0" fontId="12" fillId="0" borderId="71" xfId="42" applyBorder="1"/>
    <xf numFmtId="0" fontId="12" fillId="0" borderId="3" xfId="42" applyBorder="1" applyAlignment="1">
      <alignment wrapText="1"/>
    </xf>
    <xf numFmtId="0" fontId="12" fillId="0" borderId="43" xfId="42" applyBorder="1" applyAlignment="1">
      <alignment wrapText="1"/>
    </xf>
    <xf numFmtId="0" fontId="33" fillId="0" borderId="71" xfId="42" applyFont="1" applyFill="1" applyBorder="1"/>
    <xf numFmtId="0" fontId="38" fillId="0" borderId="60" xfId="56" applyFont="1" applyBorder="1"/>
    <xf numFmtId="0" fontId="43" fillId="17" borderId="57" xfId="55" applyFont="1" applyFill="1" applyBorder="1"/>
    <xf numFmtId="0" fontId="12" fillId="0" borderId="43" xfId="42" applyBorder="1" applyAlignment="1"/>
    <xf numFmtId="0" fontId="33" fillId="0" borderId="3" xfId="41" applyNumberFormat="1" applyFont="1" applyFill="1" applyBorder="1"/>
    <xf numFmtId="11" fontId="33" fillId="0" borderId="28" xfId="58" applyNumberFormat="1" applyFont="1" applyFill="1" applyBorder="1"/>
    <xf numFmtId="43" fontId="33" fillId="0" borderId="46" xfId="42" applyNumberFormat="1" applyFont="1" applyFill="1" applyBorder="1"/>
    <xf numFmtId="0" fontId="38" fillId="0" borderId="0" xfId="55" applyFont="1" applyBorder="1"/>
    <xf numFmtId="0" fontId="38" fillId="0" borderId="44" xfId="55" applyFont="1" applyBorder="1"/>
    <xf numFmtId="0" fontId="43" fillId="17" borderId="63" xfId="55" applyFont="1" applyFill="1" applyBorder="1"/>
    <xf numFmtId="165" fontId="38" fillId="0" borderId="0" xfId="55" applyNumberFormat="1" applyFont="1" applyBorder="1"/>
    <xf numFmtId="37" fontId="38" fillId="0" borderId="0" xfId="55" applyNumberFormat="1" applyFont="1" applyBorder="1"/>
    <xf numFmtId="0" fontId="38" fillId="0" borderId="0" xfId="55" applyFont="1" applyBorder="1" applyAlignment="1">
      <alignment horizontal="right"/>
    </xf>
    <xf numFmtId="0" fontId="43" fillId="17" borderId="62" xfId="55" applyFont="1" applyFill="1" applyBorder="1"/>
    <xf numFmtId="0" fontId="12" fillId="0" borderId="42" xfId="42" applyBorder="1"/>
    <xf numFmtId="0" fontId="12" fillId="0" borderId="41" xfId="42" applyBorder="1"/>
    <xf numFmtId="0" fontId="12" fillId="13" borderId="41" xfId="42" applyFill="1" applyBorder="1"/>
    <xf numFmtId="0" fontId="12" fillId="0" borderId="40" xfId="42" applyBorder="1"/>
    <xf numFmtId="0" fontId="33" fillId="0" borderId="0" xfId="58" applyFont="1"/>
    <xf numFmtId="0" fontId="0" fillId="0" borderId="0" xfId="0" applyFill="1" applyBorder="1"/>
    <xf numFmtId="0" fontId="33" fillId="0" borderId="0" xfId="58" applyFont="1" applyFill="1" applyBorder="1"/>
    <xf numFmtId="0" fontId="1" fillId="0" borderId="0" xfId="59" applyFill="1" applyBorder="1"/>
    <xf numFmtId="165" fontId="33" fillId="0" borderId="0" xfId="58" applyNumberFormat="1" applyFont="1" applyFill="1" applyBorder="1"/>
    <xf numFmtId="0" fontId="33" fillId="0" borderId="0" xfId="58" applyFont="1" applyFill="1" applyBorder="1" applyAlignment="1">
      <alignment horizontal="right"/>
    </xf>
    <xf numFmtId="0" fontId="54" fillId="0" borderId="0" xfId="58" applyFont="1" applyFill="1" applyBorder="1"/>
    <xf numFmtId="165" fontId="54" fillId="0" borderId="0" xfId="58" applyNumberFormat="1" applyFont="1" applyFill="1" applyBorder="1"/>
    <xf numFmtId="0" fontId="54" fillId="0" borderId="0" xfId="58" applyFont="1" applyFill="1" applyBorder="1" applyAlignment="1">
      <alignment horizontal="right"/>
    </xf>
    <xf numFmtId="165" fontId="33" fillId="0" borderId="0" xfId="29" applyFont="1" applyFill="1" applyBorder="1" applyAlignment="1" applyProtection="1"/>
    <xf numFmtId="0" fontId="33" fillId="0" borderId="0" xfId="58" applyFont="1" applyFill="1" applyBorder="1" applyAlignment="1">
      <alignment wrapText="1"/>
    </xf>
    <xf numFmtId="2" fontId="33" fillId="0" borderId="0" xfId="58" applyNumberFormat="1" applyFont="1" applyFill="1" applyBorder="1"/>
    <xf numFmtId="0" fontId="33" fillId="0" borderId="0" xfId="58" applyNumberFormat="1" applyFont="1" applyFill="1" applyBorder="1"/>
    <xf numFmtId="165" fontId="33" fillId="0" borderId="0" xfId="29" applyNumberFormat="1" applyFont="1" applyFill="1" applyBorder="1" applyAlignment="1" applyProtection="1"/>
    <xf numFmtId="0" fontId="33" fillId="0" borderId="0" xfId="60" applyNumberFormat="1" applyFont="1" applyFill="1" applyBorder="1" applyAlignment="1" applyProtection="1"/>
    <xf numFmtId="191" fontId="33" fillId="0" borderId="0" xfId="60" applyNumberFormat="1" applyFont="1" applyFill="1" applyBorder="1" applyAlignment="1" applyProtection="1"/>
    <xf numFmtId="11" fontId="33" fillId="0" borderId="0" xfId="60" applyNumberFormat="1" applyFont="1" applyFill="1" applyBorder="1" applyAlignment="1" applyProtection="1"/>
    <xf numFmtId="11" fontId="33" fillId="0" borderId="0" xfId="58" applyNumberFormat="1" applyFont="1" applyFill="1" applyBorder="1"/>
    <xf numFmtId="164" fontId="33" fillId="0" borderId="0" xfId="60" applyFont="1" applyFill="1" applyBorder="1" applyAlignment="1" applyProtection="1"/>
    <xf numFmtId="177" fontId="33" fillId="0" borderId="0" xfId="58" applyNumberFormat="1" applyFont="1" applyFill="1" applyBorder="1"/>
    <xf numFmtId="0" fontId="33" fillId="0" borderId="0" xfId="58" applyFont="1" applyFill="1" applyBorder="1" applyAlignment="1">
      <alignment horizontal="left"/>
    </xf>
    <xf numFmtId="0" fontId="22" fillId="0" borderId="0" xfId="58" applyFont="1" applyFill="1" applyBorder="1"/>
    <xf numFmtId="0" fontId="47" fillId="0" borderId="0" xfId="54" applyFill="1" applyBorder="1"/>
    <xf numFmtId="37" fontId="33" fillId="0" borderId="0" xfId="60" applyNumberFormat="1" applyFont="1" applyFill="1" applyBorder="1" applyAlignment="1" applyProtection="1"/>
    <xf numFmtId="0" fontId="38" fillId="0" borderId="0" xfId="59" applyFont="1" applyFill="1" applyBorder="1" applyAlignment="1">
      <alignment horizontal="right"/>
    </xf>
    <xf numFmtId="0" fontId="54" fillId="0" borderId="0" xfId="58" applyFont="1" applyFill="1" applyBorder="1" applyAlignment="1">
      <alignment horizontal="left"/>
    </xf>
    <xf numFmtId="0" fontId="10" fillId="8" borderId="72" xfId="0" applyFont="1" applyFill="1" applyBorder="1"/>
    <xf numFmtId="11" fontId="33" fillId="0" borderId="73" xfId="58" applyNumberFormat="1" applyFont="1" applyFill="1" applyBorder="1"/>
    <xf numFmtId="196" fontId="11" fillId="0" borderId="3" xfId="0" applyNumberFormat="1" applyFont="1" applyBorder="1" applyAlignment="1"/>
    <xf numFmtId="0" fontId="11" fillId="0" borderId="72" xfId="0" applyFont="1" applyBorder="1" applyAlignment="1"/>
    <xf numFmtId="0" fontId="10" fillId="7" borderId="3" xfId="0" applyFont="1" applyFill="1" applyBorder="1"/>
    <xf numFmtId="0" fontId="38" fillId="0" borderId="68" xfId="55" applyFont="1" applyBorder="1"/>
    <xf numFmtId="0" fontId="38" fillId="0" borderId="59" xfId="55" applyFont="1" applyBorder="1"/>
    <xf numFmtId="0" fontId="38" fillId="0" borderId="48" xfId="55" applyFont="1" applyBorder="1"/>
    <xf numFmtId="0" fontId="38" fillId="0" borderId="49" xfId="55" applyFont="1" applyBorder="1"/>
    <xf numFmtId="0" fontId="38" fillId="0" borderId="49" xfId="55" applyFont="1" applyBorder="1" applyAlignment="1">
      <alignment horizontal="right"/>
    </xf>
    <xf numFmtId="165" fontId="38" fillId="0" borderId="49" xfId="55" applyNumberFormat="1" applyFont="1" applyBorder="1"/>
    <xf numFmtId="11" fontId="33" fillId="0" borderId="3" xfId="57" applyNumberFormat="1" applyFont="1" applyFill="1" applyBorder="1"/>
    <xf numFmtId="11" fontId="11" fillId="0" borderId="3" xfId="7" applyNumberFormat="1" applyFont="1" applyBorder="1" applyAlignment="1" applyProtection="1"/>
    <xf numFmtId="0" fontId="11" fillId="0" borderId="72" xfId="0" applyFont="1" applyBorder="1" applyAlignment="1">
      <alignment wrapText="1"/>
    </xf>
    <xf numFmtId="0" fontId="11" fillId="0" borderId="3" xfId="0" applyFont="1" applyBorder="1" applyAlignment="1" applyProtection="1">
      <alignment wrapText="1"/>
    </xf>
    <xf numFmtId="0" fontId="11" fillId="0" borderId="3" xfId="0" applyFont="1" applyBorder="1" applyAlignment="1">
      <alignment wrapText="1"/>
    </xf>
    <xf numFmtId="196" fontId="11" fillId="0" borderId="3" xfId="0" applyNumberFormat="1" applyFont="1" applyBorder="1" applyAlignment="1">
      <alignment wrapText="1"/>
    </xf>
    <xf numFmtId="164" fontId="11" fillId="0" borderId="3" xfId="7" applyNumberFormat="1" applyFont="1" applyBorder="1" applyAlignment="1" applyProtection="1">
      <alignment wrapText="1"/>
    </xf>
    <xf numFmtId="11" fontId="33" fillId="0" borderId="73" xfId="58" applyNumberFormat="1" applyFont="1" applyFill="1" applyBorder="1" applyAlignment="1">
      <alignment wrapText="1"/>
    </xf>
    <xf numFmtId="0" fontId="10" fillId="0" borderId="21" xfId="0" applyFont="1" applyBorder="1" applyAlignment="1">
      <alignment wrapText="1"/>
    </xf>
    <xf numFmtId="0" fontId="10" fillId="0" borderId="0" xfId="0" applyFont="1" applyBorder="1" applyAlignment="1">
      <alignment wrapText="1"/>
    </xf>
    <xf numFmtId="0" fontId="0" fillId="0" borderId="21" xfId="0" applyBorder="1" applyAlignment="1">
      <alignment wrapText="1"/>
    </xf>
    <xf numFmtId="0" fontId="10" fillId="8" borderId="72" xfId="0" applyFont="1" applyFill="1" applyBorder="1" applyAlignment="1">
      <alignment wrapText="1"/>
    </xf>
    <xf numFmtId="0" fontId="10" fillId="8" borderId="3" xfId="0" applyFont="1" applyFill="1" applyBorder="1" applyAlignment="1">
      <alignment wrapText="1"/>
    </xf>
    <xf numFmtId="0" fontId="38" fillId="0" borderId="61" xfId="55" applyFont="1" applyBorder="1" applyAlignment="1">
      <alignment wrapText="1"/>
    </xf>
    <xf numFmtId="0" fontId="38" fillId="0" borderId="60" xfId="55" applyFont="1" applyBorder="1" applyAlignment="1">
      <alignment wrapText="1"/>
    </xf>
    <xf numFmtId="165" fontId="38" fillId="0" borderId="60" xfId="55" applyNumberFormat="1" applyFont="1" applyBorder="1" applyAlignment="1">
      <alignment wrapText="1"/>
    </xf>
    <xf numFmtId="3" fontId="0" fillId="0" borderId="3" xfId="0" applyNumberFormat="1" applyBorder="1" applyAlignment="1">
      <alignment wrapText="1"/>
    </xf>
    <xf numFmtId="2" fontId="11" fillId="0" borderId="3" xfId="7" applyNumberFormat="1" applyFont="1" applyBorder="1" applyAlignment="1" applyProtection="1">
      <alignment wrapText="1"/>
    </xf>
    <xf numFmtId="0" fontId="10" fillId="8" borderId="3" xfId="0" applyFont="1" applyFill="1" applyBorder="1" applyAlignment="1">
      <alignment horizontal="right" wrapText="1"/>
    </xf>
    <xf numFmtId="165" fontId="10" fillId="8" borderId="5" xfId="0" applyNumberFormat="1" applyFont="1" applyFill="1" applyBorder="1" applyAlignment="1">
      <alignment wrapText="1"/>
    </xf>
    <xf numFmtId="0" fontId="10" fillId="8" borderId="5" xfId="0" applyFont="1" applyFill="1" applyBorder="1" applyAlignment="1">
      <alignment horizontal="right" wrapText="1"/>
    </xf>
    <xf numFmtId="11" fontId="11" fillId="0" borderId="3" xfId="7" applyNumberFormat="1" applyFont="1" applyBorder="1" applyAlignment="1" applyProtection="1">
      <alignment wrapText="1"/>
    </xf>
    <xf numFmtId="0" fontId="10" fillId="7" borderId="16" xfId="0" applyFont="1" applyFill="1" applyBorder="1" applyAlignment="1"/>
    <xf numFmtId="0" fontId="10" fillId="7" borderId="0" xfId="0" applyFont="1" applyFill="1" applyBorder="1" applyAlignment="1"/>
    <xf numFmtId="37" fontId="11" fillId="0" borderId="16" xfId="0" applyNumberFormat="1" applyFont="1" applyBorder="1"/>
    <xf numFmtId="0" fontId="25" fillId="0" borderId="16" xfId="8" applyBorder="1"/>
    <xf numFmtId="165" fontId="10" fillId="7" borderId="16" xfId="0" applyNumberFormat="1" applyFont="1" applyFill="1" applyBorder="1" applyAlignment="1"/>
    <xf numFmtId="0" fontId="33" fillId="0" borderId="74" xfId="0" applyFont="1" applyFill="1" applyBorder="1"/>
    <xf numFmtId="170" fontId="33" fillId="0" borderId="74" xfId="36" applyFont="1" applyFill="1" applyBorder="1"/>
    <xf numFmtId="0" fontId="33" fillId="0" borderId="3" xfId="0" applyFont="1" applyFill="1" applyBorder="1"/>
    <xf numFmtId="0" fontId="10" fillId="8" borderId="16" xfId="0" applyFont="1" applyFill="1" applyBorder="1" applyAlignment="1"/>
    <xf numFmtId="0" fontId="25" fillId="0" borderId="0" xfId="8" applyFill="1"/>
    <xf numFmtId="0" fontId="10" fillId="8" borderId="2" xfId="0" applyFont="1" applyFill="1" applyBorder="1" applyAlignment="1"/>
    <xf numFmtId="0" fontId="10" fillId="8" borderId="27" xfId="0" applyFont="1" applyFill="1" applyBorder="1" applyAlignment="1"/>
    <xf numFmtId="0" fontId="10" fillId="8" borderId="5" xfId="0" applyFont="1" applyFill="1" applyBorder="1" applyAlignment="1"/>
    <xf numFmtId="0" fontId="10" fillId="8" borderId="3" xfId="0" applyFont="1" applyFill="1" applyBorder="1" applyAlignment="1"/>
    <xf numFmtId="43" fontId="11" fillId="0" borderId="3" xfId="0" applyNumberFormat="1" applyFont="1" applyBorder="1" applyAlignment="1"/>
    <xf numFmtId="177" fontId="11" fillId="0" borderId="3" xfId="7" applyNumberFormat="1" applyFont="1" applyBorder="1" applyAlignment="1" applyProtection="1"/>
    <xf numFmtId="165" fontId="10" fillId="8" borderId="5" xfId="0" applyNumberFormat="1" applyFont="1" applyFill="1" applyBorder="1" applyAlignment="1"/>
    <xf numFmtId="0" fontId="10" fillId="8" borderId="22" xfId="0" applyFont="1" applyFill="1" applyBorder="1" applyAlignment="1"/>
    <xf numFmtId="0" fontId="33" fillId="0" borderId="3" xfId="0" applyFont="1" applyFill="1" applyBorder="1" applyAlignment="1">
      <alignment wrapText="1"/>
    </xf>
    <xf numFmtId="0" fontId="33" fillId="0" borderId="3" xfId="0" applyNumberFormat="1" applyFont="1" applyFill="1" applyBorder="1" applyAlignment="1">
      <alignment wrapText="1"/>
    </xf>
    <xf numFmtId="170" fontId="33" fillId="0" borderId="3" xfId="36" applyFont="1" applyFill="1" applyBorder="1" applyAlignment="1">
      <alignment wrapText="1"/>
    </xf>
    <xf numFmtId="165" fontId="11" fillId="0" borderId="16" xfId="7" applyNumberFormat="1" applyFont="1" applyBorder="1" applyAlignment="1" applyProtection="1">
      <alignment wrapText="1"/>
    </xf>
    <xf numFmtId="0" fontId="33" fillId="0" borderId="3" xfId="42" applyFont="1" applyBorder="1" applyAlignment="1">
      <alignment wrapText="1"/>
    </xf>
    <xf numFmtId="170" fontId="33" fillId="0" borderId="74" xfId="36" applyFont="1" applyFill="1" applyBorder="1" applyAlignment="1">
      <alignment wrapText="1"/>
    </xf>
    <xf numFmtId="172" fontId="33" fillId="0" borderId="3" xfId="0" applyNumberFormat="1" applyFont="1" applyFill="1" applyBorder="1" applyAlignment="1">
      <alignment wrapText="1"/>
    </xf>
    <xf numFmtId="170" fontId="38" fillId="0" borderId="45" xfId="36" applyFont="1" applyBorder="1" applyAlignment="1">
      <alignment wrapText="1"/>
    </xf>
    <xf numFmtId="39" fontId="33" fillId="0" borderId="3" xfId="36" applyNumberFormat="1" applyFont="1" applyFill="1" applyBorder="1" applyAlignment="1">
      <alignment wrapText="1"/>
    </xf>
    <xf numFmtId="37" fontId="33" fillId="0" borderId="3" xfId="36" applyNumberFormat="1" applyFont="1" applyFill="1" applyBorder="1" applyAlignment="1">
      <alignment wrapText="1"/>
    </xf>
    <xf numFmtId="165" fontId="10" fillId="8" borderId="75" xfId="0" applyNumberFormat="1" applyFont="1" applyFill="1" applyBorder="1" applyAlignment="1"/>
    <xf numFmtId="0" fontId="0" fillId="0" borderId="32" xfId="0" applyBorder="1"/>
    <xf numFmtId="0" fontId="10" fillId="8" borderId="51" xfId="0" applyFont="1" applyFill="1" applyBorder="1" applyAlignment="1"/>
    <xf numFmtId="0" fontId="10" fillId="0" borderId="76" xfId="0" applyFont="1" applyBorder="1"/>
    <xf numFmtId="0" fontId="10" fillId="8" borderId="77" xfId="0" applyFont="1" applyFill="1" applyBorder="1" applyAlignment="1"/>
    <xf numFmtId="0" fontId="11" fillId="0" borderId="55" xfId="0" applyFont="1" applyBorder="1" applyAlignment="1"/>
    <xf numFmtId="0" fontId="10" fillId="8" borderId="55" xfId="0" applyFont="1" applyFill="1" applyBorder="1" applyAlignment="1"/>
    <xf numFmtId="0" fontId="33" fillId="0" borderId="55" xfId="0" applyFont="1" applyFill="1" applyBorder="1"/>
    <xf numFmtId="0" fontId="11" fillId="0" borderId="55" xfId="0" applyFont="1" applyBorder="1" applyAlignment="1">
      <alignment wrapText="1"/>
    </xf>
    <xf numFmtId="43" fontId="11" fillId="0" borderId="3" xfId="0" applyNumberFormat="1" applyFont="1" applyBorder="1" applyAlignment="1">
      <alignment wrapText="1"/>
    </xf>
    <xf numFmtId="177" fontId="11" fillId="0" borderId="3" xfId="7" applyNumberFormat="1" applyFont="1" applyBorder="1" applyAlignment="1" applyProtection="1">
      <alignment wrapText="1"/>
    </xf>
    <xf numFmtId="168" fontId="11" fillId="0" borderId="3" xfId="7" applyNumberFormat="1" applyFont="1" applyBorder="1" applyAlignment="1" applyProtection="1">
      <alignment wrapText="1"/>
    </xf>
    <xf numFmtId="0" fontId="33" fillId="0" borderId="55" xfId="0" applyFont="1" applyFill="1" applyBorder="1" applyAlignment="1">
      <alignment wrapText="1"/>
    </xf>
    <xf numFmtId="170" fontId="33" fillId="0" borderId="3" xfId="3" applyFont="1" applyFill="1" applyBorder="1" applyAlignment="1">
      <alignment wrapText="1"/>
    </xf>
    <xf numFmtId="0" fontId="11" fillId="0" borderId="22" xfId="0" applyFont="1" applyBorder="1" applyAlignment="1">
      <alignment wrapText="1"/>
    </xf>
    <xf numFmtId="0" fontId="0" fillId="0" borderId="45" xfId="0" applyBorder="1" applyAlignment="1">
      <alignment wrapText="1"/>
    </xf>
    <xf numFmtId="0" fontId="10" fillId="7" borderId="51" xfId="0" applyFont="1" applyFill="1" applyBorder="1" applyAlignment="1"/>
    <xf numFmtId="0" fontId="33" fillId="0" borderId="78" xfId="0" applyFont="1" applyFill="1" applyBorder="1"/>
    <xf numFmtId="0" fontId="33" fillId="0" borderId="78" xfId="0" applyFont="1" applyFill="1" applyBorder="1" applyAlignment="1">
      <alignment wrapText="1"/>
    </xf>
    <xf numFmtId="0" fontId="33" fillId="0" borderId="43" xfId="0" applyFont="1" applyFill="1" applyBorder="1"/>
    <xf numFmtId="0" fontId="11" fillId="0" borderId="0" xfId="7" applyNumberFormat="1" applyFont="1" applyBorder="1" applyAlignment="1"/>
    <xf numFmtId="0" fontId="10" fillId="0" borderId="43" xfId="0" applyFont="1" applyBorder="1"/>
    <xf numFmtId="165" fontId="11" fillId="0" borderId="74" xfId="7" applyNumberFormat="1" applyFont="1" applyBorder="1" applyAlignment="1" applyProtection="1"/>
    <xf numFmtId="165" fontId="10" fillId="8" borderId="3" xfId="0" applyNumberFormat="1" applyFont="1" applyFill="1" applyBorder="1" applyAlignment="1"/>
    <xf numFmtId="49" fontId="25" fillId="0" borderId="3" xfId="8" applyNumberFormat="1" applyBorder="1" applyAlignment="1" applyProtection="1"/>
    <xf numFmtId="49" fontId="25" fillId="10" borderId="3" xfId="8" applyNumberFormat="1" applyFill="1" applyBorder="1"/>
    <xf numFmtId="0" fontId="25" fillId="10" borderId="3" xfId="8" applyFill="1" applyBorder="1"/>
  </cellXfs>
  <cellStyles count="61">
    <cellStyle name="Comma 2" xfId="5"/>
    <cellStyle name="Cost Table Plain" xfId="10"/>
    <cellStyle name="Cost_Green" xfId="4"/>
    <cellStyle name="Cost_Red" xfId="43"/>
    <cellStyle name="Cost_Yellow" xfId="11"/>
    <cellStyle name="Currency 2" xfId="2"/>
    <cellStyle name="Currency 2 2" xfId="12"/>
    <cellStyle name="Good 2" xfId="13"/>
    <cellStyle name="Lien hypertexte" xfId="8" builtinId="8"/>
    <cellStyle name="Lien hypertexte 2" xfId="54"/>
    <cellStyle name="Milliers" xfId="50" builtinId="3"/>
    <cellStyle name="Milliers 2" xfId="35"/>
    <cellStyle name="Milliers 2 2" xfId="41"/>
    <cellStyle name="Milliers 3" xfId="37"/>
    <cellStyle name="Milliers 3 2" xfId="45"/>
    <cellStyle name="Milliers 3 4" xfId="57"/>
    <cellStyle name="Milliers 4" xfId="60"/>
    <cellStyle name="Monétaire 10" xfId="36"/>
    <cellStyle name="Monétaire 10 2" xfId="29"/>
    <cellStyle name="Monétaire 2" xfId="3"/>
    <cellStyle name="Monétaire 3" xfId="14"/>
    <cellStyle name="Monétaire 4" xfId="40"/>
    <cellStyle name="Monétaire 4 3" xfId="44"/>
    <cellStyle name="Normal" xfId="0" builtinId="0"/>
    <cellStyle name="Normal 2" xfId="1"/>
    <cellStyle name="Normal 2 2" xfId="15"/>
    <cellStyle name="Normal 2 2 2" xfId="16"/>
    <cellStyle name="Normal 2 2 2 2" xfId="17"/>
    <cellStyle name="Normal 2 2 2 2 2" xfId="18"/>
    <cellStyle name="Normal 2 2 2 3" xfId="19"/>
    <cellStyle name="Normal 2 2 3" xfId="20"/>
    <cellStyle name="Normal 2 2 4" xfId="21"/>
    <cellStyle name="Normal 2 2 4 2" xfId="22"/>
    <cellStyle name="Normal 2 2 4 2 2" xfId="55"/>
    <cellStyle name="Normal 2 2 4 3" xfId="49"/>
    <cellStyle name="Normal 2 2 4 3 2" xfId="56"/>
    <cellStyle name="Normal 2 2 4 4" xfId="53"/>
    <cellStyle name="Normal 2 3" xfId="23"/>
    <cellStyle name="Normal 2 4" xfId="24"/>
    <cellStyle name="Normal 2 5" xfId="33"/>
    <cellStyle name="Normal 3" xfId="6"/>
    <cellStyle name="Normal 3 2" xfId="26"/>
    <cellStyle name="Normal 3 2 2" xfId="58"/>
    <cellStyle name="Normal 3 3" xfId="25"/>
    <cellStyle name="Normal 3 4" xfId="31"/>
    <cellStyle name="Normal 3 5" xfId="32"/>
    <cellStyle name="Normal 3 6" xfId="34"/>
    <cellStyle name="Normal 3 7" xfId="48"/>
    <cellStyle name="Normal 3 8" xfId="51"/>
    <cellStyle name="Normal 4" xfId="9"/>
    <cellStyle name="Normal 4 2" xfId="42"/>
    <cellStyle name="Normal 5" xfId="27"/>
    <cellStyle name="Normal 5 2" xfId="39"/>
    <cellStyle name="Normal 5 3" xfId="46"/>
    <cellStyle name="Normal 5 4" xfId="52"/>
    <cellStyle name="Normal 7" xfId="38"/>
    <cellStyle name="Normal 7 2" xfId="47"/>
    <cellStyle name="Normal 7 3" xfId="59"/>
    <cellStyle name="Normal_Sheet1" xfId="30"/>
    <cellStyle name="Style 1" xfId="28"/>
    <cellStyle name="TableStyleLight1" xfId="7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CD5B5"/>
      <rgbColor rgb="FFC6EFCE"/>
      <rgbColor rgb="FF660066"/>
      <rgbColor rgb="FFFF8080"/>
      <rgbColor rgb="FF0066CC"/>
      <rgbColor rgb="FFD0D7E5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AC090"/>
      <rgbColor rgb="FF3366FF"/>
      <rgbColor rgb="FF33CCCC"/>
      <rgbColor rgb="FF99CC00"/>
      <rgbColor rgb="FFFFCC00"/>
      <rgbColor rgb="FFFF9900"/>
      <rgbColor rgb="FFE46C0A"/>
      <rgbColor rgb="FF666699"/>
      <rgbColor rgb="FF969696"/>
      <rgbColor rgb="FF003366"/>
      <rgbColor rgb="FF339966"/>
      <rgbColor rgb="FF0061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FFFF66"/>
      <color rgb="FFFFFF00"/>
      <color rgb="FF66CCFF"/>
      <color rgb="FF33CCFF"/>
      <color rgb="FF00FFFF"/>
      <color rgb="FF95B3D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24" Type="http://schemas.openxmlformats.org/officeDocument/2006/relationships/theme" Target="theme/theme1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styles" Target="styles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27" Type="http://schemas.openxmlformats.org/officeDocument/2006/relationships/calcChain" Target="calcChain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hyperlink" Target="#SU_02006!B5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jpe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jpe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jpe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hyperlink" Target="#SU_02002!B5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hyperlink" Target="#SU_01002!B5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SU_510_001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SU_510_001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395007</xdr:colOff>
      <xdr:row>28</xdr:row>
      <xdr:rowOff>126066</xdr:rowOff>
    </xdr:from>
    <xdr:to>
      <xdr:col>13</xdr:col>
      <xdr:colOff>760305</xdr:colOff>
      <xdr:row>46</xdr:row>
      <xdr:rowOff>145925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867154" y="4249831"/>
          <a:ext cx="2875415" cy="341499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630367</xdr:colOff>
      <xdr:row>32</xdr:row>
      <xdr:rowOff>99061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884607" cy="558546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121904</xdr:colOff>
      <xdr:row>33</xdr:row>
      <xdr:rowOff>83820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8130524" cy="57531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557617</xdr:colOff>
      <xdr:row>32</xdr:row>
      <xdr:rowOff>60960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827097" cy="554736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45720</xdr:colOff>
      <xdr:row>1</xdr:row>
      <xdr:rowOff>106680</xdr:rowOff>
    </xdr:from>
    <xdr:to>
      <xdr:col>10</xdr:col>
      <xdr:colOff>296457</xdr:colOff>
      <xdr:row>33</xdr:row>
      <xdr:rowOff>91440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5720" y="289560"/>
          <a:ext cx="8251737" cy="583692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470318</xdr:colOff>
      <xdr:row>30</xdr:row>
      <xdr:rowOff>155933</xdr:rowOff>
    </xdr:from>
    <xdr:to>
      <xdr:col>14</xdr:col>
      <xdr:colOff>291730</xdr:colOff>
      <xdr:row>51</xdr:row>
      <xdr:rowOff>66674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205118" y="5804258"/>
          <a:ext cx="3126587" cy="3892191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264184</xdr:colOff>
      <xdr:row>14</xdr:row>
      <xdr:rowOff>345057</xdr:rowOff>
    </xdr:from>
    <xdr:to>
      <xdr:col>13</xdr:col>
      <xdr:colOff>473852</xdr:colOff>
      <xdr:row>21</xdr:row>
      <xdr:rowOff>264184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13580" y="3004868"/>
          <a:ext cx="2948555" cy="206135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98844</xdr:colOff>
      <xdr:row>1</xdr:row>
      <xdr:rowOff>98844</xdr:rowOff>
    </xdr:from>
    <xdr:to>
      <xdr:col>10</xdr:col>
      <xdr:colOff>562604</xdr:colOff>
      <xdr:row>32</xdr:row>
      <xdr:rowOff>98843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D2D20527-4F08-4414-A552-9E9580FA5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844" y="281724"/>
          <a:ext cx="8556200" cy="566927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272439</xdr:colOff>
      <xdr:row>13</xdr:row>
      <xdr:rowOff>135318</xdr:rowOff>
    </xdr:from>
    <xdr:to>
      <xdr:col>13</xdr:col>
      <xdr:colOff>733383</xdr:colOff>
      <xdr:row>21</xdr:row>
      <xdr:rowOff>14378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53665" y="2471639"/>
          <a:ext cx="2833209" cy="225132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126341</xdr:colOff>
      <xdr:row>1</xdr:row>
      <xdr:rowOff>158152</xdr:rowOff>
    </xdr:from>
    <xdr:ext cx="8610220" cy="4078525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6341" y="337869"/>
          <a:ext cx="8610220" cy="4078525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64698</xdr:colOff>
      <xdr:row>1</xdr:row>
      <xdr:rowOff>86265</xdr:rowOff>
    </xdr:from>
    <xdr:to>
      <xdr:col>9</xdr:col>
      <xdr:colOff>532636</xdr:colOff>
      <xdr:row>34</xdr:row>
      <xdr:rowOff>43133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698" y="265982"/>
          <a:ext cx="8339542" cy="588752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75408</xdr:colOff>
      <xdr:row>14</xdr:row>
      <xdr:rowOff>89298</xdr:rowOff>
    </xdr:from>
    <xdr:to>
      <xdr:col>14</xdr:col>
      <xdr:colOff>126602</xdr:colOff>
      <xdr:row>21</xdr:row>
      <xdr:rowOff>100409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49408" y="2645173"/>
          <a:ext cx="3297632" cy="2297111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30480</xdr:colOff>
      <xdr:row>1</xdr:row>
      <xdr:rowOff>160020</xdr:rowOff>
    </xdr:from>
    <xdr:to>
      <xdr:col>9</xdr:col>
      <xdr:colOff>693507</xdr:colOff>
      <xdr:row>32</xdr:row>
      <xdr:rowOff>53340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0480" y="342900"/>
          <a:ext cx="7863927" cy="55626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516467</xdr:colOff>
      <xdr:row>12</xdr:row>
      <xdr:rowOff>93131</xdr:rowOff>
    </xdr:from>
    <xdr:to>
      <xdr:col>12</xdr:col>
      <xdr:colOff>414867</xdr:colOff>
      <xdr:row>16</xdr:row>
      <xdr:rowOff>111905</xdr:rowOff>
    </xdr:to>
    <xdr:pic>
      <xdr:nvPicPr>
        <xdr:cNvPr id="2" name="Image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15216" t="40599" r="10549" b="18514"/>
        <a:stretch/>
      </xdr:blipFill>
      <xdr:spPr>
        <a:xfrm>
          <a:off x="9973734" y="2362198"/>
          <a:ext cx="2286000" cy="76384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107292</xdr:colOff>
      <xdr:row>1</xdr:row>
      <xdr:rowOff>90122</xdr:rowOff>
    </xdr:from>
    <xdr:ext cx="8972010" cy="3693395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7292" y="269839"/>
          <a:ext cx="8972010" cy="3693395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688595</xdr:colOff>
      <xdr:row>32</xdr:row>
      <xdr:rowOff>114300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897115" cy="56007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142969</xdr:colOff>
      <xdr:row>30</xdr:row>
      <xdr:rowOff>91440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374349" cy="521208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114301</xdr:colOff>
      <xdr:row>1</xdr:row>
      <xdr:rowOff>68581</xdr:rowOff>
    </xdr:from>
    <xdr:to>
      <xdr:col>9</xdr:col>
      <xdr:colOff>741991</xdr:colOff>
      <xdr:row>31</xdr:row>
      <xdr:rowOff>83821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1" y="251461"/>
          <a:ext cx="7760010" cy="550164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198120</xdr:colOff>
      <xdr:row>1</xdr:row>
      <xdr:rowOff>99060</xdr:rowOff>
    </xdr:from>
    <xdr:to>
      <xdr:col>9</xdr:col>
      <xdr:colOff>213743</xdr:colOff>
      <xdr:row>29</xdr:row>
      <xdr:rowOff>30480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8120" y="281940"/>
          <a:ext cx="7147943" cy="505206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347634</xdr:colOff>
      <xdr:row>28</xdr:row>
      <xdr:rowOff>171203</xdr:rowOff>
    </xdr:from>
    <xdr:to>
      <xdr:col>14</xdr:col>
      <xdr:colOff>47642</xdr:colOff>
      <xdr:row>49</xdr:row>
      <xdr:rowOff>130135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463434" y="5352803"/>
          <a:ext cx="2976608" cy="3845132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80874</xdr:colOff>
      <xdr:row>14</xdr:row>
      <xdr:rowOff>92734</xdr:rowOff>
    </xdr:from>
    <xdr:to>
      <xdr:col>14</xdr:col>
      <xdr:colOff>112009</xdr:colOff>
      <xdr:row>22</xdr:row>
      <xdr:rowOff>237227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72119" y="2608772"/>
          <a:ext cx="3395437" cy="2380172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98844</xdr:colOff>
      <xdr:row>1</xdr:row>
      <xdr:rowOff>80873</xdr:rowOff>
    </xdr:from>
    <xdr:to>
      <xdr:col>10</xdr:col>
      <xdr:colOff>48354</xdr:colOff>
      <xdr:row>30</xdr:row>
      <xdr:rowOff>107831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A8C8C848-D8F4-4ED8-9809-B8873C7EA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844" y="260590"/>
          <a:ext cx="7964887" cy="52387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1</xdr:row>
      <xdr:rowOff>76200</xdr:rowOff>
    </xdr:from>
    <xdr:to>
      <xdr:col>10</xdr:col>
      <xdr:colOff>644169</xdr:colOff>
      <xdr:row>32</xdr:row>
      <xdr:rowOff>101630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368D1A18-0015-46D2-8028-9BDAF1374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25" y="266700"/>
          <a:ext cx="8387994" cy="593093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589470</xdr:colOff>
      <xdr:row>12</xdr:row>
      <xdr:rowOff>170279</xdr:rowOff>
    </xdr:from>
    <xdr:to>
      <xdr:col>13</xdr:col>
      <xdr:colOff>70007</xdr:colOff>
      <xdr:row>20</xdr:row>
      <xdr:rowOff>179716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22810"/>
        <a:stretch/>
      </xdr:blipFill>
      <xdr:spPr>
        <a:xfrm>
          <a:off x="9582508" y="2326883"/>
          <a:ext cx="2614801" cy="1957569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255736</xdr:colOff>
      <xdr:row>2</xdr:row>
      <xdr:rowOff>90398</xdr:rowOff>
    </xdr:from>
    <xdr:ext cx="8080135" cy="3827432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5736" y="449832"/>
          <a:ext cx="8080135" cy="3827432"/>
        </a:xfrm>
        <a:prstGeom prst="rect">
          <a:avLst/>
        </a:prstGeom>
      </xdr:spPr>
    </xdr:pic>
    <xdr:clientData/>
  </xdr:one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7230</xdr:colOff>
      <xdr:row>30</xdr:row>
      <xdr:rowOff>86266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59435"/>
          <a:ext cx="7253419" cy="511834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327660</xdr:colOff>
      <xdr:row>1</xdr:row>
      <xdr:rowOff>152400</xdr:rowOff>
    </xdr:from>
    <xdr:to>
      <xdr:col>9</xdr:col>
      <xdr:colOff>541917</xdr:colOff>
      <xdr:row>30</xdr:row>
      <xdr:rowOff>137160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27660" y="335280"/>
          <a:ext cx="7476117" cy="528828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345441</xdr:colOff>
      <xdr:row>11</xdr:row>
      <xdr:rowOff>55881</xdr:rowOff>
    </xdr:from>
    <xdr:to>
      <xdr:col>11</xdr:col>
      <xdr:colOff>508000</xdr:colOff>
      <xdr:row>16</xdr:row>
      <xdr:rowOff>189302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51908" y="2138681"/>
          <a:ext cx="1737359" cy="1064754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847725</xdr:colOff>
      <xdr:row>5</xdr:row>
      <xdr:rowOff>9525</xdr:rowOff>
    </xdr:from>
    <xdr:ext cx="10058400" cy="4140616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725" y="923925"/>
          <a:ext cx="10058400" cy="4140616"/>
        </a:xfrm>
        <a:prstGeom prst="rect">
          <a:avLst/>
        </a:prstGeom>
      </xdr:spPr>
    </xdr:pic>
    <xdr:clientData/>
  </xdr:one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151879</xdr:colOff>
      <xdr:row>33</xdr:row>
      <xdr:rowOff>45720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"/>
          <a:ext cx="8076679" cy="57150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91441</xdr:rowOff>
    </xdr:from>
    <xdr:to>
      <xdr:col>9</xdr:col>
      <xdr:colOff>502815</xdr:colOff>
      <xdr:row>30</xdr:row>
      <xdr:rowOff>167641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74321"/>
          <a:ext cx="7635135" cy="537972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545910</xdr:colOff>
      <xdr:row>31</xdr:row>
      <xdr:rowOff>129540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678230" cy="543306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</xdr:row>
      <xdr:rowOff>0</xdr:rowOff>
    </xdr:from>
    <xdr:to>
      <xdr:col>9</xdr:col>
      <xdr:colOff>543703</xdr:colOff>
      <xdr:row>31</xdr:row>
      <xdr:rowOff>144780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365760"/>
          <a:ext cx="7676022" cy="54483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71157</xdr:colOff>
      <xdr:row>12</xdr:row>
      <xdr:rowOff>156883</xdr:rowOff>
    </xdr:from>
    <xdr:to>
      <xdr:col>14</xdr:col>
      <xdr:colOff>250450</xdr:colOff>
      <xdr:row>20</xdr:row>
      <xdr:rowOff>66675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63392" y="2308412"/>
          <a:ext cx="3334870" cy="1917887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395198</xdr:colOff>
      <xdr:row>28</xdr:row>
      <xdr:rowOff>182336</xdr:rowOff>
    </xdr:from>
    <xdr:to>
      <xdr:col>14</xdr:col>
      <xdr:colOff>147637</xdr:colOff>
      <xdr:row>49</xdr:row>
      <xdr:rowOff>178567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587198" y="5363936"/>
          <a:ext cx="3029039" cy="3882431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109629</xdr:colOff>
      <xdr:row>13</xdr:row>
      <xdr:rowOff>106033</xdr:rowOff>
    </xdr:from>
    <xdr:to>
      <xdr:col>14</xdr:col>
      <xdr:colOff>145571</xdr:colOff>
      <xdr:row>21</xdr:row>
      <xdr:rowOff>73233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27704" y="2485486"/>
          <a:ext cx="3400244" cy="2389785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104236</xdr:colOff>
      <xdr:row>1</xdr:row>
      <xdr:rowOff>50321</xdr:rowOff>
    </xdr:from>
    <xdr:to>
      <xdr:col>10</xdr:col>
      <xdr:colOff>431125</xdr:colOff>
      <xdr:row>31</xdr:row>
      <xdr:rowOff>141976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EC8578BB-0831-46B3-A339-F4994947C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236" y="230038"/>
          <a:ext cx="8342266" cy="5483164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143775</xdr:colOff>
      <xdr:row>12</xdr:row>
      <xdr:rowOff>56342</xdr:rowOff>
    </xdr:from>
    <xdr:to>
      <xdr:col>13</xdr:col>
      <xdr:colOff>224646</xdr:colOff>
      <xdr:row>20</xdr:row>
      <xdr:rowOff>179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93415" y="2250902"/>
          <a:ext cx="3220311" cy="1916411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485775</xdr:colOff>
      <xdr:row>2</xdr:row>
      <xdr:rowOff>104775</xdr:rowOff>
    </xdr:from>
    <xdr:ext cx="10058400" cy="4764505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5775" y="470535"/>
          <a:ext cx="10058400" cy="4764505"/>
        </a:xfrm>
        <a:prstGeom prst="rect">
          <a:avLst/>
        </a:prstGeom>
      </xdr:spPr>
    </xdr:pic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391919</xdr:colOff>
      <xdr:row>34</xdr:row>
      <xdr:rowOff>57510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59434"/>
          <a:ext cx="8206013" cy="580845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343797</xdr:colOff>
      <xdr:row>30</xdr:row>
      <xdr:rowOff>167640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476117" cy="528828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311574</xdr:colOff>
      <xdr:row>11</xdr:row>
      <xdr:rowOff>38948</xdr:rowOff>
    </xdr:from>
    <xdr:to>
      <xdr:col>11</xdr:col>
      <xdr:colOff>695000</xdr:colOff>
      <xdr:row>16</xdr:row>
      <xdr:rowOff>101600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18041" y="2265681"/>
          <a:ext cx="1958226" cy="993986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56970</xdr:colOff>
      <xdr:row>2</xdr:row>
      <xdr:rowOff>67035</xdr:rowOff>
    </xdr:from>
    <xdr:ext cx="8009733" cy="3297267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970" y="426469"/>
          <a:ext cx="8009733" cy="3297267"/>
        </a:xfrm>
        <a:prstGeom prst="rect">
          <a:avLst/>
        </a:prstGeom>
      </xdr:spPr>
    </xdr:pic>
    <xdr:clientData/>
  </xdr:one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76200</xdr:rowOff>
    </xdr:from>
    <xdr:to>
      <xdr:col>9</xdr:col>
      <xdr:colOff>546175</xdr:colOff>
      <xdr:row>31</xdr:row>
      <xdr:rowOff>121920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59080"/>
          <a:ext cx="7800415" cy="553212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99061</xdr:colOff>
      <xdr:row>1</xdr:row>
      <xdr:rowOff>121920</xdr:rowOff>
    </xdr:from>
    <xdr:ext cx="8751358" cy="414538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061" y="304800"/>
          <a:ext cx="8751358" cy="4145380"/>
        </a:xfrm>
        <a:prstGeom prst="rect">
          <a:avLst/>
        </a:prstGeom>
      </xdr:spPr>
    </xdr:pic>
    <xdr:clientData/>
  </xdr:one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129540</xdr:colOff>
      <xdr:row>1</xdr:row>
      <xdr:rowOff>91440</xdr:rowOff>
    </xdr:from>
    <xdr:to>
      <xdr:col>9</xdr:col>
      <xdr:colOff>614903</xdr:colOff>
      <xdr:row>30</xdr:row>
      <xdr:rowOff>167640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9540" y="274320"/>
          <a:ext cx="7617683" cy="537972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205740</xdr:colOff>
      <xdr:row>1</xdr:row>
      <xdr:rowOff>83820</xdr:rowOff>
    </xdr:from>
    <xdr:to>
      <xdr:col>9</xdr:col>
      <xdr:colOff>507675</xdr:colOff>
      <xdr:row>30</xdr:row>
      <xdr:rowOff>30480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40" y="266700"/>
          <a:ext cx="7434255" cy="525018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609259</xdr:colOff>
      <xdr:row>31</xdr:row>
      <xdr:rowOff>160021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741579" cy="546354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320041</xdr:colOff>
      <xdr:row>2</xdr:row>
      <xdr:rowOff>38100</xdr:rowOff>
    </xdr:from>
    <xdr:to>
      <xdr:col>8</xdr:col>
      <xdr:colOff>7621</xdr:colOff>
      <xdr:row>25</xdr:row>
      <xdr:rowOff>112657</xdr:rowOff>
    </xdr:to>
    <xdr:pic>
      <xdr:nvPicPr>
        <xdr:cNvPr id="2" name="Image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403860"/>
          <a:ext cx="6195060" cy="4280797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487680</xdr:colOff>
      <xdr:row>13</xdr:row>
      <xdr:rowOff>137161</xdr:rowOff>
    </xdr:from>
    <xdr:to>
      <xdr:col>11</xdr:col>
      <xdr:colOff>83820</xdr:colOff>
      <xdr:row>20</xdr:row>
      <xdr:rowOff>138497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9620" y="2514601"/>
          <a:ext cx="1318260" cy="1281496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533400</xdr:colOff>
      <xdr:row>13</xdr:row>
      <xdr:rowOff>33865</xdr:rowOff>
    </xdr:from>
    <xdr:to>
      <xdr:col>12</xdr:col>
      <xdr:colOff>127000</xdr:colOff>
      <xdr:row>20</xdr:row>
      <xdr:rowOff>173201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76760" y="2411305"/>
          <a:ext cx="1971040" cy="1419496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393517</xdr:colOff>
      <xdr:row>11</xdr:row>
      <xdr:rowOff>90839</xdr:rowOff>
    </xdr:from>
    <xdr:to>
      <xdr:col>11</xdr:col>
      <xdr:colOff>489862</xdr:colOff>
      <xdr:row>16</xdr:row>
      <xdr:rowOff>74571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12847564" y="1802372"/>
          <a:ext cx="1081012" cy="1681305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62016</xdr:rowOff>
    </xdr:from>
    <xdr:to>
      <xdr:col>6</xdr:col>
      <xdr:colOff>301483</xdr:colOff>
      <xdr:row>21</xdr:row>
      <xdr:rowOff>79887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4896"/>
          <a:ext cx="5094463" cy="3675471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333971</xdr:colOff>
      <xdr:row>12</xdr:row>
      <xdr:rowOff>1310</xdr:rowOff>
    </xdr:from>
    <xdr:to>
      <xdr:col>11</xdr:col>
      <xdr:colOff>589799</xdr:colOff>
      <xdr:row>18</xdr:row>
      <xdr:rowOff>174171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3908574" y="1910547"/>
          <a:ext cx="1270141" cy="1840788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320041</xdr:colOff>
      <xdr:row>2</xdr:row>
      <xdr:rowOff>38100</xdr:rowOff>
    </xdr:from>
    <xdr:to>
      <xdr:col>8</xdr:col>
      <xdr:colOff>7621</xdr:colOff>
      <xdr:row>25</xdr:row>
      <xdr:rowOff>112657</xdr:rowOff>
    </xdr:to>
    <xdr:pic>
      <xdr:nvPicPr>
        <xdr:cNvPr id="2" name="Image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403860"/>
          <a:ext cx="6195060" cy="428079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9</xdr:col>
      <xdr:colOff>647910</xdr:colOff>
      <xdr:row>33</xdr:row>
      <xdr:rowOff>152400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182880"/>
          <a:ext cx="8534610" cy="600456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573405</xdr:colOff>
      <xdr:row>12</xdr:row>
      <xdr:rowOff>99061</xdr:rowOff>
    </xdr:from>
    <xdr:to>
      <xdr:col>11</xdr:col>
      <xdr:colOff>419100</xdr:colOff>
      <xdr:row>20</xdr:row>
      <xdr:rowOff>159147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906125" y="2293621"/>
          <a:ext cx="1567815" cy="1523126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117791</xdr:colOff>
      <xdr:row>11</xdr:row>
      <xdr:rowOff>75433</xdr:rowOff>
    </xdr:from>
    <xdr:to>
      <xdr:col>11</xdr:col>
      <xdr:colOff>561976</xdr:colOff>
      <xdr:row>16</xdr:row>
      <xdr:rowOff>57507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2717059" y="1897015"/>
          <a:ext cx="1067924" cy="176816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1</xdr:row>
      <xdr:rowOff>53340</xdr:rowOff>
    </xdr:from>
    <xdr:to>
      <xdr:col>9</xdr:col>
      <xdr:colOff>277937</xdr:colOff>
      <xdr:row>29</xdr:row>
      <xdr:rowOff>175260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100" y="236220"/>
          <a:ext cx="7410257" cy="524256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364464</xdr:colOff>
      <xdr:row>11</xdr:row>
      <xdr:rowOff>100355</xdr:rowOff>
    </xdr:from>
    <xdr:to>
      <xdr:col>11</xdr:col>
      <xdr:colOff>685799</xdr:colOff>
      <xdr:row>19</xdr:row>
      <xdr:rowOff>75976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3887561" y="1878218"/>
          <a:ext cx="1438661" cy="1906295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489857</xdr:colOff>
      <xdr:row>11</xdr:row>
      <xdr:rowOff>43544</xdr:rowOff>
    </xdr:from>
    <xdr:ext cx="1458686" cy="995034"/>
    <xdr:pic>
      <xdr:nvPicPr>
        <xdr:cNvPr id="2" name="Picture 4">
          <a:extLst>
            <a:ext uri="{FF2B5EF4-FFF2-40B4-BE49-F238E27FC236}">
              <a16:creationId xmlns:a16="http://schemas.microsoft.com/office/drawing/2014/main" id="{00000000-0008-0000-14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r="2804"/>
        <a:stretch>
          <a:fillRect/>
        </a:stretch>
      </xdr:blipFill>
      <xdr:spPr bwMode="auto">
        <a:xfrm>
          <a:off x="13552714" y="2090058"/>
          <a:ext cx="1458686" cy="99503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65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526869</xdr:colOff>
      <xdr:row>13</xdr:row>
      <xdr:rowOff>15240</xdr:rowOff>
    </xdr:from>
    <xdr:ext cx="2149839" cy="1236618"/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17583" y="2442754"/>
          <a:ext cx="2149839" cy="1236618"/>
        </a:xfrm>
        <a:prstGeom prst="rect">
          <a:avLst/>
        </a:prstGeom>
      </xdr:spPr>
    </xdr:pic>
    <xdr:clientData/>
  </xdr:one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121921</xdr:colOff>
      <xdr:row>1</xdr:row>
      <xdr:rowOff>99060</xdr:rowOff>
    </xdr:from>
    <xdr:to>
      <xdr:col>8</xdr:col>
      <xdr:colOff>723901</xdr:colOff>
      <xdr:row>28</xdr:row>
      <xdr:rowOff>83083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21" y="281940"/>
          <a:ext cx="6941820" cy="4921783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272143</xdr:colOff>
      <xdr:row>11</xdr:row>
      <xdr:rowOff>85022</xdr:rowOff>
    </xdr:from>
    <xdr:ext cx="1045028" cy="1094594"/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540343" y="2120651"/>
          <a:ext cx="1045028" cy="1094594"/>
        </a:xfrm>
        <a:prstGeom prst="rect">
          <a:avLst/>
        </a:prstGeom>
      </xdr:spPr>
    </xdr:pic>
    <xdr:clientData/>
  </xdr:one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692255</xdr:colOff>
      <xdr:row>29</xdr:row>
      <xdr:rowOff>38100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032095" cy="497586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548640</xdr:colOff>
      <xdr:row>11</xdr:row>
      <xdr:rowOff>82049</xdr:rowOff>
    </xdr:from>
    <xdr:to>
      <xdr:col>11</xdr:col>
      <xdr:colOff>365760</xdr:colOff>
      <xdr:row>17</xdr:row>
      <xdr:rowOff>38733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78240" y="2276609"/>
          <a:ext cx="1402080" cy="123684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1</xdr:row>
      <xdr:rowOff>38100</xdr:rowOff>
    </xdr:from>
    <xdr:to>
      <xdr:col>10</xdr:col>
      <xdr:colOff>108065</xdr:colOff>
      <xdr:row>32</xdr:row>
      <xdr:rowOff>137160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0" y="220980"/>
          <a:ext cx="8154785" cy="5768340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440749</xdr:colOff>
      <xdr:row>31</xdr:row>
      <xdr:rowOff>53340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573069" cy="5356860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420946</xdr:colOff>
      <xdr:row>12</xdr:row>
      <xdr:rowOff>27259</xdr:rowOff>
    </xdr:from>
    <xdr:to>
      <xdr:col>13</xdr:col>
      <xdr:colOff>594425</xdr:colOff>
      <xdr:row>19</xdr:row>
      <xdr:rowOff>259081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9421475" y="2007150"/>
          <a:ext cx="1877742" cy="2672839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228601</xdr:colOff>
      <xdr:row>1</xdr:row>
      <xdr:rowOff>83820</xdr:rowOff>
    </xdr:from>
    <xdr:to>
      <xdr:col>10</xdr:col>
      <xdr:colOff>95181</xdr:colOff>
      <xdr:row>29</xdr:row>
      <xdr:rowOff>152400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8601" y="266700"/>
          <a:ext cx="7959020" cy="5189220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347132</xdr:colOff>
      <xdr:row>11</xdr:row>
      <xdr:rowOff>131234</xdr:rowOff>
    </xdr:from>
    <xdr:to>
      <xdr:col>11</xdr:col>
      <xdr:colOff>423332</xdr:colOff>
      <xdr:row>19</xdr:row>
      <xdr:rowOff>109202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93665" y="2357967"/>
          <a:ext cx="1329267" cy="2001502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492437</xdr:colOff>
      <xdr:row>29</xdr:row>
      <xdr:rowOff>143436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58588"/>
          <a:ext cx="7762813" cy="4984377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490329</xdr:colOff>
      <xdr:row>12</xdr:row>
      <xdr:rowOff>99391</xdr:rowOff>
    </xdr:from>
    <xdr:to>
      <xdr:col>11</xdr:col>
      <xdr:colOff>485490</xdr:colOff>
      <xdr:row>21</xdr:row>
      <xdr:rowOff>26504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38051" y="2325756"/>
          <a:ext cx="1240865" cy="1596887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618129</xdr:colOff>
      <xdr:row>30</xdr:row>
      <xdr:rowOff>68581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918089" cy="5189220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304800</xdr:colOff>
      <xdr:row>11</xdr:row>
      <xdr:rowOff>76202</xdr:rowOff>
    </xdr:from>
    <xdr:to>
      <xdr:col>11</xdr:col>
      <xdr:colOff>515045</xdr:colOff>
      <xdr:row>17</xdr:row>
      <xdr:rowOff>93134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39933" y="2125135"/>
          <a:ext cx="1463311" cy="1312332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180885</xdr:colOff>
      <xdr:row>1</xdr:row>
      <xdr:rowOff>105045</xdr:rowOff>
    </xdr:from>
    <xdr:to>
      <xdr:col>8</xdr:col>
      <xdr:colOff>444315</xdr:colOff>
      <xdr:row>33</xdr:row>
      <xdr:rowOff>36465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674550" y="-205740"/>
          <a:ext cx="5783580" cy="6770910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603249</xdr:colOff>
      <xdr:row>12</xdr:row>
      <xdr:rowOff>31750</xdr:rowOff>
    </xdr:from>
    <xdr:to>
      <xdr:col>11</xdr:col>
      <xdr:colOff>251772</xdr:colOff>
      <xdr:row>17</xdr:row>
      <xdr:rowOff>97217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26809" y="2409190"/>
          <a:ext cx="898203" cy="115428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696686</xdr:colOff>
      <xdr:row>13</xdr:row>
      <xdr:rowOff>10886</xdr:rowOff>
    </xdr:from>
    <xdr:to>
      <xdr:col>11</xdr:col>
      <xdr:colOff>653144</xdr:colOff>
      <xdr:row>16</xdr:row>
      <xdr:rowOff>32657</xdr:rowOff>
    </xdr:to>
    <xdr:pic>
      <xdr:nvPicPr>
        <xdr:cNvPr id="2" name="Image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15216" t="40599" r="10549" b="18514"/>
        <a:stretch/>
      </xdr:blipFill>
      <xdr:spPr>
        <a:xfrm>
          <a:off x="10156372" y="2449286"/>
          <a:ext cx="1698172" cy="576942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152399</xdr:colOff>
      <xdr:row>1</xdr:row>
      <xdr:rowOff>96997</xdr:rowOff>
    </xdr:from>
    <xdr:to>
      <xdr:col>9</xdr:col>
      <xdr:colOff>472439</xdr:colOff>
      <xdr:row>36</xdr:row>
      <xdr:rowOff>67652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776671" y="-344395"/>
          <a:ext cx="6371455" cy="76200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</xdr:colOff>
      <xdr:row>1</xdr:row>
      <xdr:rowOff>82476</xdr:rowOff>
    </xdr:from>
    <xdr:ext cx="9029700" cy="3717144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265356"/>
          <a:ext cx="9029700" cy="3717144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Classeur2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_A0200"/>
      <sheetName val="SU_02001"/>
      <sheetName val="SU_02002"/>
      <sheetName val="SU_02003"/>
      <sheetName val="SU_02004"/>
      <sheetName val="SU_02005"/>
      <sheetName val="SU_02006"/>
      <sheetName val="SU Drawing Part 1"/>
      <sheetName val="SU Drawing Part 2"/>
      <sheetName val="SU Drawing Part 5"/>
      <sheetName val="SU Drawing Part 6"/>
    </sheetNames>
    <sheetDataSet>
      <sheetData sheetId="0" refreshError="1">
        <row r="3">
          <cell r="B3" t="str">
            <v>Suspension &amp; Shocks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10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1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10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7.bin"/></Relationships>
</file>

<file path=xl/worksheets/_rels/sheet1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10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10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10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10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1.bin"/></Relationships>
</file>

<file path=xl/worksheets/_rels/sheet1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1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1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8.bin"/></Relationships>
</file>

<file path=xl/worksheets/_rels/sheet1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89.bin"/></Relationships>
</file>

<file path=xl/worksheets/_rels/sheet1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90.bin"/></Relationships>
</file>

<file path=xl/worksheets/_rels/sheet1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91.bin"/></Relationships>
</file>

<file path=xl/worksheets/_rels/sheet1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92.bin"/></Relationships>
</file>

<file path=xl/worksheets/_rels/sheet1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93.bin"/></Relationships>
</file>

<file path=xl/worksheets/_rels/sheet1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94.bin"/></Relationships>
</file>

<file path=xl/worksheets/_rels/sheet1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95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96.bin"/></Relationships>
</file>

<file path=xl/worksheets/_rels/sheet1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97.bin"/></Relationships>
</file>

<file path=xl/worksheets/_rels/sheet1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98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78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9.bin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0.bin"/></Relationships>
</file>

<file path=xl/worksheets/_rels/sheet8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8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2.bin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3.bin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4.bin"/></Relationships>
</file>

<file path=xl/worksheets/_rels/sheet9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85.bin"/></Relationships>
</file>

<file path=xl/worksheets/_rels/sheet9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C82"/>
  <sheetViews>
    <sheetView topLeftCell="A28" workbookViewId="0">
      <selection activeCell="C43" sqref="C43"/>
    </sheetView>
  </sheetViews>
  <sheetFormatPr baseColWidth="10" defaultRowHeight="14.4" x14ac:dyDescent="0.3"/>
  <sheetData>
    <row r="1" spans="1:2" x14ac:dyDescent="0.3">
      <c r="A1" s="91" t="s">
        <v>127</v>
      </c>
    </row>
    <row r="3" spans="1:2" x14ac:dyDescent="0.3">
      <c r="A3" s="90" t="s">
        <v>60</v>
      </c>
      <c r="B3" s="87" t="s">
        <v>61</v>
      </c>
    </row>
    <row r="5" spans="1:2" x14ac:dyDescent="0.3">
      <c r="A5" t="s">
        <v>95</v>
      </c>
    </row>
    <row r="6" spans="1:2" x14ac:dyDescent="0.3">
      <c r="A6" t="s">
        <v>96</v>
      </c>
    </row>
    <row r="7" spans="1:2" x14ac:dyDescent="0.3">
      <c r="A7" t="s">
        <v>103</v>
      </c>
    </row>
    <row r="8" spans="1:2" x14ac:dyDescent="0.3">
      <c r="A8" t="s">
        <v>100</v>
      </c>
    </row>
    <row r="9" spans="1:2" x14ac:dyDescent="0.3">
      <c r="A9" t="s">
        <v>62</v>
      </c>
    </row>
    <row r="10" spans="1:2" x14ac:dyDescent="0.3">
      <c r="A10" s="87" t="s">
        <v>91</v>
      </c>
    </row>
    <row r="11" spans="1:2" x14ac:dyDescent="0.3">
      <c r="A11" t="s">
        <v>63</v>
      </c>
    </row>
    <row r="12" spans="1:2" x14ac:dyDescent="0.3">
      <c r="A12" t="s">
        <v>64</v>
      </c>
    </row>
    <row r="14" spans="1:2" x14ac:dyDescent="0.3">
      <c r="A14" t="s">
        <v>94</v>
      </c>
    </row>
    <row r="15" spans="1:2" x14ac:dyDescent="0.3">
      <c r="A15" t="s">
        <v>108</v>
      </c>
    </row>
    <row r="16" spans="1:2" x14ac:dyDescent="0.3">
      <c r="A16" t="s">
        <v>112</v>
      </c>
    </row>
    <row r="18" spans="1:3" x14ac:dyDescent="0.3">
      <c r="A18" s="90" t="s">
        <v>65</v>
      </c>
      <c r="B18" s="87" t="s">
        <v>98</v>
      </c>
      <c r="C18" s="87"/>
    </row>
    <row r="20" spans="1:3" x14ac:dyDescent="0.3">
      <c r="A20" t="s">
        <v>109</v>
      </c>
    </row>
    <row r="21" spans="1:3" x14ac:dyDescent="0.3">
      <c r="A21" t="s">
        <v>128</v>
      </c>
    </row>
    <row r="23" spans="1:3" x14ac:dyDescent="0.3">
      <c r="A23" s="90" t="s">
        <v>67</v>
      </c>
      <c r="B23" s="87" t="s">
        <v>68</v>
      </c>
    </row>
    <row r="25" spans="1:3" x14ac:dyDescent="0.3">
      <c r="A25" t="s">
        <v>120</v>
      </c>
    </row>
    <row r="26" spans="1:3" x14ac:dyDescent="0.3">
      <c r="A26" t="s">
        <v>74</v>
      </c>
    </row>
    <row r="27" spans="1:3" x14ac:dyDescent="0.3">
      <c r="A27" t="s">
        <v>69</v>
      </c>
    </row>
    <row r="28" spans="1:3" x14ac:dyDescent="0.3">
      <c r="A28" t="s">
        <v>104</v>
      </c>
    </row>
    <row r="29" spans="1:3" x14ac:dyDescent="0.3">
      <c r="A29" t="s">
        <v>101</v>
      </c>
    </row>
    <row r="30" spans="1:3" x14ac:dyDescent="0.3">
      <c r="A30" t="s">
        <v>70</v>
      </c>
    </row>
    <row r="31" spans="1:3" x14ac:dyDescent="0.3">
      <c r="A31" s="87" t="s">
        <v>91</v>
      </c>
    </row>
    <row r="32" spans="1:3" x14ac:dyDescent="0.3">
      <c r="A32" t="s">
        <v>102</v>
      </c>
    </row>
    <row r="33" spans="1:2" x14ac:dyDescent="0.3">
      <c r="A33" t="s">
        <v>105</v>
      </c>
    </row>
    <row r="35" spans="1:2" x14ac:dyDescent="0.3">
      <c r="A35" t="s">
        <v>106</v>
      </c>
    </row>
    <row r="36" spans="1:2" x14ac:dyDescent="0.3">
      <c r="A36" t="s">
        <v>107</v>
      </c>
    </row>
    <row r="37" spans="1:2" x14ac:dyDescent="0.3">
      <c r="A37" t="s">
        <v>113</v>
      </c>
    </row>
    <row r="39" spans="1:2" x14ac:dyDescent="0.3">
      <c r="A39" s="90" t="s">
        <v>71</v>
      </c>
      <c r="B39" s="87" t="s">
        <v>66</v>
      </c>
    </row>
    <row r="41" spans="1:2" x14ac:dyDescent="0.3">
      <c r="A41" t="s">
        <v>118</v>
      </c>
    </row>
    <row r="42" spans="1:2" x14ac:dyDescent="0.3">
      <c r="A42" t="s">
        <v>119</v>
      </c>
    </row>
    <row r="43" spans="1:2" x14ac:dyDescent="0.3">
      <c r="A43" t="s">
        <v>97</v>
      </c>
    </row>
    <row r="45" spans="1:2" x14ac:dyDescent="0.3">
      <c r="A45" s="90" t="s">
        <v>72</v>
      </c>
      <c r="B45" s="87" t="s">
        <v>88</v>
      </c>
    </row>
    <row r="47" spans="1:2" x14ac:dyDescent="0.3">
      <c r="A47" t="s">
        <v>121</v>
      </c>
    </row>
    <row r="48" spans="1:2" x14ac:dyDescent="0.3">
      <c r="A48" t="s">
        <v>89</v>
      </c>
    </row>
    <row r="49" spans="1:2" x14ac:dyDescent="0.3">
      <c r="A49" t="s">
        <v>90</v>
      </c>
    </row>
    <row r="50" spans="1:2" x14ac:dyDescent="0.3">
      <c r="A50" t="s">
        <v>110</v>
      </c>
    </row>
    <row r="51" spans="1:2" x14ac:dyDescent="0.3">
      <c r="A51" t="s">
        <v>122</v>
      </c>
    </row>
    <row r="52" spans="1:2" x14ac:dyDescent="0.3">
      <c r="A52" t="s">
        <v>123</v>
      </c>
    </row>
    <row r="53" spans="1:2" x14ac:dyDescent="0.3">
      <c r="A53" t="s">
        <v>92</v>
      </c>
    </row>
    <row r="55" spans="1:2" x14ac:dyDescent="0.3">
      <c r="A55" t="s">
        <v>114</v>
      </c>
    </row>
    <row r="57" spans="1:2" x14ac:dyDescent="0.3">
      <c r="A57" s="90" t="s">
        <v>76</v>
      </c>
      <c r="B57" s="87" t="s">
        <v>73</v>
      </c>
    </row>
    <row r="59" spans="1:2" x14ac:dyDescent="0.3">
      <c r="A59" t="s">
        <v>75</v>
      </c>
    </row>
    <row r="60" spans="1:2" x14ac:dyDescent="0.3">
      <c r="A60" t="s">
        <v>115</v>
      </c>
    </row>
    <row r="61" spans="1:2" x14ac:dyDescent="0.3">
      <c r="A61" t="s">
        <v>111</v>
      </c>
    </row>
    <row r="63" spans="1:2" x14ac:dyDescent="0.3">
      <c r="A63" s="90" t="s">
        <v>87</v>
      </c>
      <c r="B63" s="87" t="s">
        <v>77</v>
      </c>
    </row>
    <row r="65" spans="1:1" x14ac:dyDescent="0.3">
      <c r="A65" t="s">
        <v>78</v>
      </c>
    </row>
    <row r="66" spans="1:1" x14ac:dyDescent="0.3">
      <c r="A66" t="s">
        <v>80</v>
      </c>
    </row>
    <row r="67" spans="1:1" x14ac:dyDescent="0.3">
      <c r="A67" t="s">
        <v>79</v>
      </c>
    </row>
    <row r="68" spans="1:1" x14ac:dyDescent="0.3">
      <c r="A68" t="s">
        <v>81</v>
      </c>
    </row>
    <row r="69" spans="1:1" x14ac:dyDescent="0.3">
      <c r="A69" t="s">
        <v>82</v>
      </c>
    </row>
    <row r="70" spans="1:1" x14ac:dyDescent="0.3">
      <c r="A70" t="s">
        <v>83</v>
      </c>
    </row>
    <row r="71" spans="1:1" x14ac:dyDescent="0.3">
      <c r="A71" t="s">
        <v>116</v>
      </c>
    </row>
    <row r="72" spans="1:1" x14ac:dyDescent="0.3">
      <c r="A72" t="s">
        <v>117</v>
      </c>
    </row>
    <row r="74" spans="1:1" x14ac:dyDescent="0.3">
      <c r="A74" t="s">
        <v>124</v>
      </c>
    </row>
    <row r="75" spans="1:1" x14ac:dyDescent="0.3">
      <c r="A75" t="s">
        <v>84</v>
      </c>
    </row>
    <row r="76" spans="1:1" x14ac:dyDescent="0.3">
      <c r="A76" t="s">
        <v>85</v>
      </c>
    </row>
    <row r="77" spans="1:1" x14ac:dyDescent="0.3">
      <c r="A77" t="s">
        <v>116</v>
      </c>
    </row>
    <row r="78" spans="1:1" x14ac:dyDescent="0.3">
      <c r="A78" t="s">
        <v>117</v>
      </c>
    </row>
    <row r="80" spans="1:1" x14ac:dyDescent="0.3">
      <c r="A80" s="87" t="s">
        <v>93</v>
      </c>
    </row>
    <row r="82" spans="1:1" x14ac:dyDescent="0.3">
      <c r="A82" s="91" t="s">
        <v>99</v>
      </c>
    </row>
  </sheetData>
  <pageMargins left="0.7" right="0.7" top="0.75" bottom="0.75" header="0.3" footer="0.3"/>
  <pageSetup paperSize="9" orientation="landscape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9"/>
  <sheetViews>
    <sheetView workbookViewId="0">
      <selection activeCell="N12" sqref="N12"/>
    </sheetView>
  </sheetViews>
  <sheetFormatPr baseColWidth="10" defaultRowHeight="14.4" x14ac:dyDescent="0.3"/>
  <cols>
    <col min="2" max="2" width="25.109375" customWidth="1"/>
    <col min="3" max="3" width="30.5546875" customWidth="1"/>
    <col min="7" max="7" width="13.88671875" customWidth="1"/>
    <col min="9" max="9" width="14" customWidth="1"/>
    <col min="17" max="17" width="12.88671875" bestFit="1" customWidth="1"/>
  </cols>
  <sheetData>
    <row r="1" spans="1:17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7" x14ac:dyDescent="0.3">
      <c r="A2" s="350" t="s">
        <v>0</v>
      </c>
      <c r="B2" s="351" t="s">
        <v>37</v>
      </c>
      <c r="C2" s="352"/>
      <c r="D2" s="352"/>
      <c r="E2" s="352"/>
      <c r="F2" s="352"/>
      <c r="G2" s="353" t="s">
        <v>126</v>
      </c>
      <c r="H2" s="352"/>
      <c r="I2" s="352"/>
      <c r="J2" s="354" t="s">
        <v>1</v>
      </c>
      <c r="K2" s="355">
        <v>81</v>
      </c>
      <c r="L2" s="352"/>
      <c r="M2" s="350" t="s">
        <v>16</v>
      </c>
      <c r="N2" s="356">
        <f>N12+I18</f>
        <v>1.0750440160000001</v>
      </c>
      <c r="O2" s="357"/>
    </row>
    <row r="3" spans="1:17" x14ac:dyDescent="0.3">
      <c r="A3" s="350" t="s">
        <v>3</v>
      </c>
      <c r="B3" s="351" t="str">
        <f>'SU A0100'!B3</f>
        <v>Suspension &amp; Shocks</v>
      </c>
      <c r="C3" s="352"/>
      <c r="D3" s="350" t="s">
        <v>6</v>
      </c>
      <c r="E3" s="394" t="s">
        <v>86</v>
      </c>
      <c r="F3" s="352"/>
      <c r="G3" s="352"/>
      <c r="H3" s="352"/>
      <c r="I3" s="352"/>
      <c r="J3" s="352"/>
      <c r="K3" s="352"/>
      <c r="L3" s="352"/>
      <c r="M3" s="350" t="s">
        <v>4</v>
      </c>
      <c r="N3" s="359">
        <v>2</v>
      </c>
      <c r="O3" s="357"/>
    </row>
    <row r="4" spans="1:17" x14ac:dyDescent="0.3">
      <c r="A4" s="350" t="s">
        <v>5</v>
      </c>
      <c r="B4" s="353" t="str">
        <f>'SU A0100'!B4</f>
        <v>Upper Front A-arm</v>
      </c>
      <c r="C4" s="352"/>
      <c r="D4" s="350" t="s">
        <v>8</v>
      </c>
      <c r="E4" s="352"/>
      <c r="F4" s="352"/>
      <c r="G4" s="352"/>
      <c r="H4" s="352"/>
      <c r="I4" s="352"/>
      <c r="J4" s="360" t="s">
        <v>6</v>
      </c>
      <c r="K4" s="352"/>
      <c r="L4" s="352"/>
      <c r="M4" s="352"/>
      <c r="N4" s="352"/>
      <c r="O4" s="357"/>
    </row>
    <row r="5" spans="1:17" x14ac:dyDescent="0.3">
      <c r="A5" s="350" t="s">
        <v>15</v>
      </c>
      <c r="B5" s="395" t="s">
        <v>193</v>
      </c>
      <c r="C5" s="352"/>
      <c r="D5" s="350" t="s">
        <v>12</v>
      </c>
      <c r="E5" s="352"/>
      <c r="F5" s="352"/>
      <c r="G5" s="352"/>
      <c r="H5" s="352"/>
      <c r="I5" s="352"/>
      <c r="J5" s="360" t="s">
        <v>8</v>
      </c>
      <c r="K5" s="352"/>
      <c r="L5" s="352"/>
      <c r="M5" s="350" t="s">
        <v>9</v>
      </c>
      <c r="N5" s="356">
        <f>N3*N2</f>
        <v>2.1500880320000002</v>
      </c>
      <c r="O5" s="357"/>
    </row>
    <row r="6" spans="1:17" x14ac:dyDescent="0.3">
      <c r="A6" s="350" t="s">
        <v>7</v>
      </c>
      <c r="B6" s="362" t="s">
        <v>172</v>
      </c>
      <c r="C6" s="352"/>
      <c r="D6" s="352"/>
      <c r="E6" s="352"/>
      <c r="F6" s="352"/>
      <c r="G6" s="352"/>
      <c r="H6" s="352"/>
      <c r="I6" s="352"/>
      <c r="J6" s="360" t="s">
        <v>12</v>
      </c>
      <c r="K6" s="352"/>
      <c r="L6" s="352"/>
      <c r="M6" s="352"/>
      <c r="N6" s="352"/>
      <c r="O6" s="357"/>
    </row>
    <row r="7" spans="1:17" x14ac:dyDescent="0.3">
      <c r="A7" s="350" t="s">
        <v>10</v>
      </c>
      <c r="B7" s="351" t="s">
        <v>11</v>
      </c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7" x14ac:dyDescent="0.3">
      <c r="A8" s="350" t="s">
        <v>13</v>
      </c>
      <c r="B8" s="351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7" x14ac:dyDescent="0.3">
      <c r="A9" s="363"/>
      <c r="B9" s="364"/>
      <c r="C9" s="364"/>
      <c r="D9" s="364"/>
      <c r="E9" s="364"/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7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x14ac:dyDescent="0.3">
      <c r="A11" s="368">
        <v>10</v>
      </c>
      <c r="B11" s="396" t="s">
        <v>166</v>
      </c>
      <c r="C11" s="372" t="s">
        <v>38</v>
      </c>
      <c r="D11" s="379">
        <v>2.25</v>
      </c>
      <c r="E11" s="374">
        <f>J11*K11*L11</f>
        <v>1.7352896E-2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375">
        <v>1.0999999999999999E-2</v>
      </c>
      <c r="L11" s="377">
        <v>7850</v>
      </c>
      <c r="M11" s="378">
        <v>1</v>
      </c>
      <c r="N11" s="379">
        <f>D11*E11*M11</f>
        <v>3.9044016000000001E-2</v>
      </c>
      <c r="O11" s="380"/>
      <c r="Q11" s="135"/>
    </row>
    <row r="12" spans="1:17" x14ac:dyDescent="0.3">
      <c r="A12" s="381"/>
      <c r="B12" s="382"/>
      <c r="C12" s="382"/>
      <c r="D12" s="382"/>
      <c r="E12" s="382"/>
      <c r="F12" s="382"/>
      <c r="G12" s="382"/>
      <c r="H12" s="382"/>
      <c r="I12" s="382"/>
      <c r="J12" s="382"/>
      <c r="K12" s="382"/>
      <c r="L12" s="382"/>
      <c r="M12" s="383" t="s">
        <v>18</v>
      </c>
      <c r="N12" s="384">
        <f>SUM(N11:N11)</f>
        <v>3.9044016000000001E-2</v>
      </c>
      <c r="O12" s="357"/>
    </row>
    <row r="13" spans="1:17" x14ac:dyDescent="0.3">
      <c r="A13" s="385"/>
      <c r="B13" s="352"/>
      <c r="C13" s="352"/>
      <c r="D13" s="352"/>
      <c r="E13" s="352"/>
      <c r="F13" s="352"/>
      <c r="G13" s="352"/>
      <c r="H13" s="352"/>
      <c r="I13" s="352"/>
      <c r="J13" s="352"/>
      <c r="K13" s="352"/>
      <c r="L13" s="352"/>
      <c r="M13" s="352"/>
      <c r="N13" s="352"/>
      <c r="O13" s="357"/>
    </row>
    <row r="14" spans="1:17" x14ac:dyDescent="0.3">
      <c r="A14" s="386" t="s">
        <v>14</v>
      </c>
      <c r="B14" s="367" t="s">
        <v>31</v>
      </c>
      <c r="C14" s="367" t="s">
        <v>20</v>
      </c>
      <c r="D14" s="367" t="s">
        <v>21</v>
      </c>
      <c r="E14" s="367" t="s">
        <v>32</v>
      </c>
      <c r="F14" s="367" t="s">
        <v>17</v>
      </c>
      <c r="G14" s="367" t="s">
        <v>33</v>
      </c>
      <c r="H14" s="367" t="s">
        <v>34</v>
      </c>
      <c r="I14" s="367" t="s">
        <v>18</v>
      </c>
      <c r="J14" s="382"/>
      <c r="K14" s="382"/>
      <c r="L14" s="382"/>
      <c r="M14" s="382"/>
      <c r="N14" s="382"/>
      <c r="O14" s="357"/>
    </row>
    <row r="15" spans="1:17" ht="28.8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7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0.3</v>
      </c>
      <c r="G16" s="397" t="s">
        <v>268</v>
      </c>
      <c r="H16" s="397">
        <v>3</v>
      </c>
      <c r="I16" s="346">
        <f>IF(H16="",D16*F16,D16*F16*H16)</f>
        <v>3.6000000000000004E-2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381"/>
      <c r="B18" s="382"/>
      <c r="C18" s="382"/>
      <c r="D18" s="382"/>
      <c r="E18" s="382"/>
      <c r="F18" s="382"/>
      <c r="G18" s="382"/>
      <c r="H18" s="390" t="s">
        <v>18</v>
      </c>
      <c r="I18" s="384">
        <f>SUM(I15:I17)</f>
        <v>1.036</v>
      </c>
      <c r="J18" s="382"/>
      <c r="K18" s="382"/>
      <c r="L18" s="382"/>
      <c r="M18" s="382"/>
      <c r="N18" s="382"/>
      <c r="O18" s="357"/>
    </row>
    <row r="19" spans="1:15" ht="15" thickBot="1" x14ac:dyDescent="0.35">
      <c r="A19" s="391"/>
      <c r="B19" s="392"/>
      <c r="C19" s="392"/>
      <c r="D19" s="392"/>
      <c r="E19" s="392"/>
      <c r="F19" s="392"/>
      <c r="G19" s="392"/>
      <c r="H19" s="392"/>
      <c r="I19" s="392"/>
      <c r="J19" s="392"/>
      <c r="K19" s="392"/>
      <c r="L19" s="392"/>
      <c r="M19" s="392"/>
      <c r="N19" s="392"/>
      <c r="O19" s="393"/>
    </row>
  </sheetData>
  <hyperlinks>
    <hyperlink ref="B4" location="'SU A0100'!A1" display="'SU A0100'!A1"/>
    <hyperlink ref="E3" location="dSU_01005" display="Drawing"/>
    <hyperlink ref="G2" location="SU_A0100_BOM" display="Back to BOM"/>
  </hyperlinks>
  <pageMargins left="0.7" right="0.7" top="0.75" bottom="0.75" header="0.3" footer="0.3"/>
  <pageSetup paperSize="9" orientation="portrait" r:id="rId1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80"/>
  <sheetViews>
    <sheetView zoomScale="80" zoomScaleNormal="80" workbookViewId="0">
      <selection activeCell="F2" sqref="F2"/>
    </sheetView>
  </sheetViews>
  <sheetFormatPr baseColWidth="10" defaultRowHeight="14.4" x14ac:dyDescent="0.3"/>
  <cols>
    <col min="2" max="2" width="30.44140625" customWidth="1"/>
    <col min="3" max="3" width="23.5546875" customWidth="1"/>
    <col min="7" max="7" width="14.5546875" customWidth="1"/>
    <col min="9" max="9" width="24.33203125" customWidth="1"/>
    <col min="10" max="10" width="13.55468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802" t="s">
        <v>0</v>
      </c>
      <c r="B2" s="16" t="s">
        <v>37</v>
      </c>
      <c r="C2" s="803"/>
      <c r="D2" s="803"/>
      <c r="E2" s="803"/>
      <c r="F2" s="804" t="s">
        <v>126</v>
      </c>
      <c r="G2" s="803"/>
      <c r="H2" s="803"/>
      <c r="I2" s="803"/>
      <c r="J2" s="805" t="s">
        <v>1</v>
      </c>
      <c r="K2" s="806">
        <v>81</v>
      </c>
      <c r="L2" s="803"/>
      <c r="M2" s="802" t="s">
        <v>16</v>
      </c>
      <c r="N2" s="807">
        <f>SU_08001_m+SU_08001_p</f>
        <v>1.3710986506763019</v>
      </c>
      <c r="O2" s="276"/>
    </row>
    <row r="3" spans="1:15" x14ac:dyDescent="0.3">
      <c r="A3" s="802" t="s">
        <v>3</v>
      </c>
      <c r="B3" s="16" t="str">
        <f>'SU A0800'!B3</f>
        <v>Suspension &amp; Shocks</v>
      </c>
      <c r="C3" s="803"/>
      <c r="D3" s="802" t="s">
        <v>6</v>
      </c>
      <c r="E3" s="803"/>
      <c r="F3" s="803"/>
      <c r="G3" s="803"/>
      <c r="H3" s="803"/>
      <c r="I3" s="803"/>
      <c r="J3" s="803"/>
      <c r="K3" s="803"/>
      <c r="L3" s="803"/>
      <c r="M3" s="802" t="s">
        <v>4</v>
      </c>
      <c r="N3" s="808">
        <v>2</v>
      </c>
      <c r="O3" s="276"/>
    </row>
    <row r="4" spans="1:15" x14ac:dyDescent="0.3">
      <c r="A4" s="802" t="s">
        <v>5</v>
      </c>
      <c r="B4" s="88" t="str">
        <f>'SU A0800'!B4</f>
        <v>Rear Bell Crank</v>
      </c>
      <c r="C4" s="803"/>
      <c r="D4" s="802" t="s">
        <v>8</v>
      </c>
      <c r="E4" s="803"/>
      <c r="F4" s="803"/>
      <c r="G4" s="803"/>
      <c r="H4" s="803"/>
      <c r="I4" s="803"/>
      <c r="J4" s="802" t="s">
        <v>6</v>
      </c>
      <c r="K4" s="803"/>
      <c r="L4" s="803"/>
      <c r="M4" s="803"/>
      <c r="N4" s="803"/>
      <c r="O4" s="276"/>
    </row>
    <row r="5" spans="1:15" x14ac:dyDescent="0.3">
      <c r="A5" s="802" t="s">
        <v>15</v>
      </c>
      <c r="B5" s="753" t="s">
        <v>385</v>
      </c>
      <c r="C5" s="803"/>
      <c r="D5" s="802" t="s">
        <v>12</v>
      </c>
      <c r="E5" s="803"/>
      <c r="F5" s="803"/>
      <c r="G5" s="803"/>
      <c r="H5" s="803"/>
      <c r="I5" s="803"/>
      <c r="J5" s="802" t="s">
        <v>8</v>
      </c>
      <c r="K5" s="803"/>
      <c r="L5" s="803"/>
      <c r="M5" s="802" t="s">
        <v>9</v>
      </c>
      <c r="N5" s="807">
        <f>N2*SU_08001_q</f>
        <v>2.7421973013526038</v>
      </c>
      <c r="O5" s="276"/>
    </row>
    <row r="6" spans="1:15" x14ac:dyDescent="0.3">
      <c r="A6" s="802" t="s">
        <v>7</v>
      </c>
      <c r="B6" t="s">
        <v>447</v>
      </c>
      <c r="C6" s="803"/>
      <c r="D6" s="803"/>
      <c r="E6" s="803"/>
      <c r="F6" s="803"/>
      <c r="G6" s="803"/>
      <c r="H6" s="803"/>
      <c r="I6" s="803"/>
      <c r="J6" s="802" t="s">
        <v>12</v>
      </c>
      <c r="K6" s="803"/>
      <c r="L6" s="803"/>
      <c r="M6" s="803"/>
      <c r="N6" s="803"/>
      <c r="O6" s="276"/>
    </row>
    <row r="7" spans="1:15" x14ac:dyDescent="0.3">
      <c r="A7" s="802" t="s">
        <v>10</v>
      </c>
      <c r="B7" s="803" t="s">
        <v>11</v>
      </c>
      <c r="C7" s="803"/>
      <c r="D7" s="803"/>
      <c r="E7" s="803"/>
      <c r="F7" s="803"/>
      <c r="G7" s="803"/>
      <c r="H7" s="803"/>
      <c r="I7" s="803"/>
      <c r="J7" s="803"/>
      <c r="K7" s="803"/>
      <c r="L7" s="803"/>
      <c r="M7" s="803"/>
      <c r="N7" s="803"/>
      <c r="O7" s="276"/>
    </row>
    <row r="8" spans="1:15" x14ac:dyDescent="0.3">
      <c r="A8" s="802" t="s">
        <v>13</v>
      </c>
      <c r="B8" s="16"/>
      <c r="C8" s="803"/>
      <c r="D8" s="803"/>
      <c r="E8" s="803"/>
      <c r="F8" s="803"/>
      <c r="G8" s="803"/>
      <c r="H8" s="803"/>
      <c r="I8" s="803"/>
      <c r="J8" s="803"/>
      <c r="K8" s="803"/>
      <c r="L8" s="803"/>
      <c r="M8" s="803"/>
      <c r="N8" s="803"/>
      <c r="O8" s="276"/>
    </row>
    <row r="9" spans="1:15" x14ac:dyDescent="0.3">
      <c r="A9" s="809"/>
      <c r="B9" s="803"/>
      <c r="C9" s="803"/>
      <c r="D9" s="803"/>
      <c r="E9" s="803"/>
      <c r="F9" s="803"/>
      <c r="G9" s="803"/>
      <c r="H9" s="803"/>
      <c r="I9" s="803"/>
      <c r="J9" s="803"/>
      <c r="K9" s="803"/>
      <c r="L9" s="803"/>
      <c r="M9" s="803"/>
      <c r="N9" s="803"/>
      <c r="O9" s="276"/>
    </row>
    <row r="10" spans="1:15" x14ac:dyDescent="0.3">
      <c r="A10" s="810" t="s">
        <v>14</v>
      </c>
      <c r="B10" s="811" t="s">
        <v>19</v>
      </c>
      <c r="C10" s="811" t="s">
        <v>20</v>
      </c>
      <c r="D10" s="811" t="s">
        <v>21</v>
      </c>
      <c r="E10" s="811" t="s">
        <v>22</v>
      </c>
      <c r="F10" s="811" t="s">
        <v>23</v>
      </c>
      <c r="G10" s="811" t="s">
        <v>24</v>
      </c>
      <c r="H10" s="811" t="s">
        <v>25</v>
      </c>
      <c r="I10" s="811" t="s">
        <v>26</v>
      </c>
      <c r="J10" s="811" t="s">
        <v>27</v>
      </c>
      <c r="K10" s="811" t="s">
        <v>28</v>
      </c>
      <c r="L10" s="811" t="s">
        <v>29</v>
      </c>
      <c r="M10" s="811" t="s">
        <v>17</v>
      </c>
      <c r="N10" s="811" t="s">
        <v>18</v>
      </c>
      <c r="O10" s="276"/>
    </row>
    <row r="11" spans="1:15" x14ac:dyDescent="0.3">
      <c r="A11" s="812">
        <v>10</v>
      </c>
      <c r="B11" s="813" t="s">
        <v>405</v>
      </c>
      <c r="C11" s="814" t="s">
        <v>406</v>
      </c>
      <c r="D11" s="815">
        <v>3.3</v>
      </c>
      <c r="E11" s="816">
        <f>J11*K11*L11</f>
        <v>1.3969288083727863E-2</v>
      </c>
      <c r="F11" s="817" t="s">
        <v>212</v>
      </c>
      <c r="G11" s="817"/>
      <c r="H11" s="818"/>
      <c r="I11" s="819" t="s">
        <v>407</v>
      </c>
      <c r="J11" s="819">
        <f>PI()*(7.5*10^-3)^2</f>
        <v>1.7671458676442585E-4</v>
      </c>
      <c r="K11" s="820">
        <v>9.2999999999999992E-3</v>
      </c>
      <c r="L11" s="821">
        <v>8500</v>
      </c>
      <c r="M11" s="821">
        <v>1</v>
      </c>
      <c r="N11" s="815">
        <f>D11*E11</f>
        <v>4.6098650676301943E-2</v>
      </c>
      <c r="O11" s="276"/>
    </row>
    <row r="12" spans="1:15" x14ac:dyDescent="0.3">
      <c r="A12" s="822"/>
      <c r="B12" s="823"/>
      <c r="C12" s="823"/>
      <c r="D12" s="823"/>
      <c r="E12" s="823"/>
      <c r="F12" s="823"/>
      <c r="G12" s="823"/>
      <c r="H12" s="823"/>
      <c r="I12" s="823"/>
      <c r="J12" s="823"/>
      <c r="K12" s="823"/>
      <c r="L12" s="823"/>
      <c r="M12" s="824" t="s">
        <v>18</v>
      </c>
      <c r="N12" s="825">
        <f>N11</f>
        <v>4.6098650676301943E-2</v>
      </c>
      <c r="O12" s="276"/>
    </row>
    <row r="13" spans="1:15" x14ac:dyDescent="0.3">
      <c r="A13" s="809"/>
      <c r="B13" s="803"/>
      <c r="C13" s="803"/>
      <c r="D13" s="803"/>
      <c r="E13" s="803"/>
      <c r="F13" s="803"/>
      <c r="G13" s="803"/>
      <c r="H13" s="803"/>
      <c r="I13" s="803"/>
      <c r="J13" s="803"/>
      <c r="K13" s="803"/>
      <c r="L13" s="803"/>
      <c r="M13" s="803"/>
      <c r="N13" s="803"/>
      <c r="O13" s="276"/>
    </row>
    <row r="14" spans="1:15" x14ac:dyDescent="0.3">
      <c r="A14" s="810" t="s">
        <v>14</v>
      </c>
      <c r="B14" s="811" t="s">
        <v>31</v>
      </c>
      <c r="C14" s="811" t="s">
        <v>20</v>
      </c>
      <c r="D14" s="811" t="s">
        <v>21</v>
      </c>
      <c r="E14" s="811" t="s">
        <v>32</v>
      </c>
      <c r="F14" s="811" t="s">
        <v>17</v>
      </c>
      <c r="G14" s="811" t="s">
        <v>33</v>
      </c>
      <c r="H14" s="811" t="s">
        <v>34</v>
      </c>
      <c r="I14" s="811" t="s">
        <v>18</v>
      </c>
      <c r="J14" s="823"/>
      <c r="K14" s="823"/>
      <c r="L14" s="823"/>
      <c r="M14" s="823"/>
      <c r="N14" s="823"/>
      <c r="O14" s="276"/>
    </row>
    <row r="15" spans="1:15" x14ac:dyDescent="0.3">
      <c r="A15" s="826">
        <v>10</v>
      </c>
      <c r="B15" s="817" t="s">
        <v>39</v>
      </c>
      <c r="C15" s="817"/>
      <c r="D15" s="815">
        <v>1.3</v>
      </c>
      <c r="E15" s="817" t="s">
        <v>35</v>
      </c>
      <c r="F15" s="817">
        <v>1</v>
      </c>
      <c r="G15" s="817"/>
      <c r="H15" s="817"/>
      <c r="I15" s="815">
        <v>1.3</v>
      </c>
      <c r="J15" s="803"/>
      <c r="K15" s="803"/>
      <c r="L15" s="803"/>
      <c r="M15" s="803"/>
      <c r="N15" s="803"/>
      <c r="O15" s="276"/>
    </row>
    <row r="16" spans="1:15" x14ac:dyDescent="0.3">
      <c r="A16" s="826">
        <v>20</v>
      </c>
      <c r="B16" s="817" t="s">
        <v>408</v>
      </c>
      <c r="C16" s="817" t="s">
        <v>409</v>
      </c>
      <c r="D16" s="815">
        <v>0.04</v>
      </c>
      <c r="E16" s="817" t="s">
        <v>161</v>
      </c>
      <c r="F16" s="817">
        <v>1.25</v>
      </c>
      <c r="G16" s="817" t="s">
        <v>410</v>
      </c>
      <c r="H16" s="817">
        <v>0.5</v>
      </c>
      <c r="I16" s="815">
        <f>D16*F16*H16</f>
        <v>2.5000000000000001E-2</v>
      </c>
      <c r="J16" s="803"/>
      <c r="K16" s="803"/>
      <c r="L16" s="803"/>
      <c r="M16" s="803"/>
      <c r="N16" s="803"/>
      <c r="O16" s="276"/>
    </row>
    <row r="17" spans="1:15" x14ac:dyDescent="0.3">
      <c r="A17" s="822"/>
      <c r="B17" s="823"/>
      <c r="C17" s="823"/>
      <c r="D17" s="823"/>
      <c r="E17" s="823"/>
      <c r="F17" s="823"/>
      <c r="G17" s="823"/>
      <c r="H17" s="824" t="s">
        <v>18</v>
      </c>
      <c r="I17" s="827">
        <f>I15+I16</f>
        <v>1.325</v>
      </c>
      <c r="J17" s="823"/>
      <c r="K17" s="823"/>
      <c r="L17" s="823"/>
      <c r="M17" s="823"/>
      <c r="N17" s="823"/>
      <c r="O17" s="276"/>
    </row>
    <row r="18" spans="1:15" x14ac:dyDescent="0.3">
      <c r="A18" s="809"/>
      <c r="B18" s="803"/>
      <c r="C18" s="803"/>
      <c r="D18" s="803"/>
      <c r="E18" s="803"/>
      <c r="F18" s="803"/>
      <c r="G18" s="803"/>
      <c r="H18" s="806"/>
      <c r="I18" s="807"/>
      <c r="J18" s="803"/>
      <c r="K18" s="803"/>
      <c r="L18" s="803"/>
      <c r="M18" s="803"/>
      <c r="N18" s="803"/>
      <c r="O18" s="276"/>
    </row>
    <row r="19" spans="1:15" x14ac:dyDescent="0.3">
      <c r="A19" s="809"/>
      <c r="B19" s="803"/>
      <c r="C19" s="803"/>
      <c r="D19" s="803"/>
      <c r="E19" s="803"/>
      <c r="F19" s="803"/>
      <c r="G19" s="803"/>
      <c r="H19" s="803"/>
      <c r="I19" s="803"/>
      <c r="J19" s="803"/>
      <c r="K19" s="803"/>
      <c r="L19" s="803"/>
      <c r="M19" s="803"/>
      <c r="N19" s="803"/>
      <c r="O19" s="276"/>
    </row>
    <row r="20" spans="1:15" x14ac:dyDescent="0.3">
      <c r="A20" s="809"/>
      <c r="B20" s="803"/>
      <c r="C20" s="803"/>
      <c r="D20" s="803"/>
      <c r="E20" s="803"/>
      <c r="F20" s="803"/>
      <c r="G20" s="803"/>
      <c r="H20" s="803"/>
      <c r="I20" s="803"/>
      <c r="J20" s="803"/>
      <c r="K20" s="803"/>
      <c r="L20" s="803"/>
      <c r="M20" s="803"/>
      <c r="N20" s="803"/>
      <c r="O20" s="276"/>
    </row>
    <row r="21" spans="1:15" x14ac:dyDescent="0.3">
      <c r="A21" s="809"/>
      <c r="B21" s="803"/>
      <c r="C21" s="803"/>
      <c r="D21" s="803"/>
      <c r="E21" s="803"/>
      <c r="F21" s="803"/>
      <c r="G21" s="803"/>
      <c r="H21" s="803"/>
      <c r="I21" s="803"/>
      <c r="J21" s="803"/>
      <c r="K21" s="803"/>
      <c r="L21" s="803"/>
      <c r="M21" s="803"/>
      <c r="N21" s="803"/>
      <c r="O21" s="276"/>
    </row>
    <row r="22" spans="1:15" ht="15" thickBot="1" x14ac:dyDescent="0.35">
      <c r="A22" s="828"/>
      <c r="B22" s="829"/>
      <c r="C22" s="829"/>
      <c r="D22" s="829"/>
      <c r="E22" s="829"/>
      <c r="F22" s="829"/>
      <c r="G22" s="829"/>
      <c r="H22" s="829"/>
      <c r="I22" s="829"/>
      <c r="J22" s="829"/>
      <c r="K22" s="829"/>
      <c r="L22" s="829"/>
      <c r="M22" s="829"/>
      <c r="N22" s="829"/>
      <c r="O22" s="298"/>
    </row>
    <row r="23" spans="1:15" x14ac:dyDescent="0.3">
      <c r="A23" s="16"/>
      <c r="B23" s="830"/>
      <c r="C23" s="830"/>
      <c r="D23" s="830"/>
      <c r="E23" s="830"/>
      <c r="F23" s="830"/>
      <c r="G23" s="830"/>
      <c r="H23" s="830"/>
      <c r="I23" s="830"/>
      <c r="J23" s="830"/>
      <c r="K23" s="830"/>
      <c r="L23" s="830"/>
      <c r="M23" s="830"/>
      <c r="N23" s="830"/>
    </row>
    <row r="24" spans="1:15" x14ac:dyDescent="0.3">
      <c r="A24" s="16"/>
      <c r="B24" s="830"/>
      <c r="C24" s="830"/>
      <c r="D24" s="830"/>
      <c r="E24" s="830"/>
      <c r="F24" s="830"/>
      <c r="G24" s="830"/>
      <c r="H24" s="830"/>
      <c r="I24" s="830"/>
      <c r="J24" s="830"/>
      <c r="K24" s="830"/>
      <c r="L24" s="830"/>
      <c r="M24" s="830"/>
      <c r="N24" s="830"/>
    </row>
    <row r="25" spans="1:15" x14ac:dyDescent="0.3">
      <c r="A25" s="88"/>
      <c r="B25" s="830"/>
      <c r="C25" s="830"/>
      <c r="D25" s="830"/>
      <c r="E25" s="830"/>
      <c r="F25" s="830"/>
      <c r="G25" s="830"/>
      <c r="H25" s="830"/>
      <c r="I25" s="830"/>
      <c r="J25" s="830"/>
      <c r="K25" s="830"/>
      <c r="L25" s="830"/>
      <c r="M25" s="830"/>
      <c r="N25" s="830"/>
    </row>
    <row r="26" spans="1:15" x14ac:dyDescent="0.3">
      <c r="A26" s="18"/>
      <c r="B26" s="830"/>
      <c r="C26" s="830"/>
      <c r="D26" s="830"/>
      <c r="E26" s="830"/>
      <c r="F26" s="830"/>
      <c r="G26" s="830"/>
      <c r="H26" s="830"/>
      <c r="I26" s="830"/>
      <c r="J26" s="830"/>
      <c r="K26" s="830"/>
      <c r="L26" s="830"/>
      <c r="M26" s="830"/>
      <c r="N26" s="830"/>
    </row>
    <row r="27" spans="1:15" x14ac:dyDescent="0.3">
      <c r="A27" s="28"/>
      <c r="B27" s="830"/>
      <c r="C27" s="830"/>
      <c r="D27" s="830"/>
      <c r="E27" s="830"/>
      <c r="F27" s="830"/>
      <c r="G27" s="830"/>
      <c r="H27" s="830"/>
      <c r="I27" s="830"/>
      <c r="J27" s="830"/>
      <c r="K27" s="830"/>
      <c r="L27" s="830"/>
      <c r="M27" s="830"/>
      <c r="N27" s="830"/>
    </row>
    <row r="28" spans="1:15" x14ac:dyDescent="0.3">
      <c r="A28" s="16"/>
      <c r="B28" s="830"/>
      <c r="C28" s="830"/>
      <c r="D28" s="830"/>
      <c r="E28" s="830"/>
      <c r="F28" s="830"/>
      <c r="G28" s="830"/>
      <c r="H28" s="830"/>
      <c r="I28" s="830"/>
      <c r="J28" s="830"/>
      <c r="K28" s="830"/>
      <c r="L28" s="830"/>
      <c r="M28" s="830"/>
      <c r="N28" s="830"/>
    </row>
    <row r="29" spans="1:15" x14ac:dyDescent="0.3">
      <c r="A29" s="16"/>
      <c r="B29" s="830"/>
      <c r="C29" s="830"/>
      <c r="D29" s="830"/>
      <c r="E29" s="830"/>
      <c r="F29" s="830"/>
      <c r="G29" s="830"/>
      <c r="H29" s="830"/>
      <c r="I29" s="830"/>
      <c r="J29" s="830"/>
      <c r="K29" s="830"/>
      <c r="L29" s="830"/>
      <c r="M29" s="830"/>
      <c r="N29" s="830"/>
    </row>
    <row r="30" spans="1:15" x14ac:dyDescent="0.3">
      <c r="A30" s="830"/>
      <c r="B30" s="830"/>
      <c r="C30" s="830"/>
      <c r="D30" s="830"/>
      <c r="E30" s="830"/>
      <c r="F30" s="830"/>
      <c r="G30" s="830"/>
      <c r="H30" s="830"/>
      <c r="I30" s="830"/>
      <c r="J30" s="830"/>
      <c r="K30" s="830"/>
      <c r="L30" s="830"/>
      <c r="M30" s="830"/>
      <c r="N30" s="830"/>
    </row>
    <row r="31" spans="1:15" x14ac:dyDescent="0.3">
      <c r="A31" s="830"/>
      <c r="B31" s="830"/>
      <c r="C31" s="830"/>
      <c r="D31" s="830"/>
      <c r="E31" s="830"/>
      <c r="F31" s="830"/>
      <c r="G31" s="830"/>
      <c r="H31" s="830"/>
      <c r="I31" s="830"/>
      <c r="J31" s="830"/>
      <c r="K31" s="830"/>
      <c r="L31" s="830"/>
      <c r="M31" s="830"/>
      <c r="N31" s="830"/>
    </row>
    <row r="32" spans="1:15" x14ac:dyDescent="0.3">
      <c r="A32" s="830"/>
      <c r="B32" s="830"/>
      <c r="C32" s="830"/>
      <c r="D32" s="830"/>
      <c r="E32" s="830"/>
      <c r="F32" s="830"/>
      <c r="G32" s="830"/>
      <c r="H32" s="830"/>
      <c r="I32" s="830"/>
      <c r="J32" s="830"/>
      <c r="K32" s="830"/>
      <c r="L32" s="830"/>
      <c r="M32" s="830"/>
      <c r="N32" s="830"/>
    </row>
    <row r="33" spans="1:14" x14ac:dyDescent="0.3">
      <c r="A33" s="830"/>
      <c r="B33" s="830"/>
      <c r="C33" s="830"/>
      <c r="D33" s="830"/>
      <c r="E33" s="830"/>
      <c r="F33" s="830"/>
      <c r="G33" s="830"/>
      <c r="H33" s="830"/>
      <c r="I33" s="830"/>
      <c r="J33" s="830"/>
      <c r="K33" s="830"/>
      <c r="L33" s="830"/>
      <c r="M33" s="830"/>
      <c r="N33" s="830"/>
    </row>
    <row r="34" spans="1:14" x14ac:dyDescent="0.3">
      <c r="A34" s="830"/>
      <c r="B34" s="830"/>
      <c r="C34" s="830"/>
      <c r="D34" s="830"/>
      <c r="E34" s="830"/>
      <c r="F34" s="830"/>
      <c r="G34" s="830"/>
      <c r="H34" s="830"/>
      <c r="I34" s="830"/>
      <c r="J34" s="830"/>
      <c r="K34" s="830"/>
      <c r="L34" s="830"/>
      <c r="M34" s="830"/>
      <c r="N34" s="830"/>
    </row>
    <row r="35" spans="1:14" x14ac:dyDescent="0.3">
      <c r="A35" s="830"/>
      <c r="B35" s="830"/>
      <c r="C35" s="830"/>
      <c r="D35" s="830"/>
      <c r="E35" s="830"/>
      <c r="F35" s="830"/>
      <c r="G35" s="830"/>
      <c r="H35" s="830"/>
      <c r="I35" s="830"/>
      <c r="J35" s="830"/>
      <c r="K35" s="830"/>
      <c r="L35" s="830"/>
      <c r="M35" s="830"/>
      <c r="N35" s="830"/>
    </row>
    <row r="36" spans="1:14" x14ac:dyDescent="0.3">
      <c r="A36" s="830"/>
      <c r="B36" s="830"/>
      <c r="C36" s="830"/>
      <c r="D36" s="830"/>
      <c r="E36" s="830"/>
      <c r="F36" s="830"/>
      <c r="G36" s="830"/>
      <c r="H36" s="830"/>
      <c r="I36" s="830"/>
      <c r="J36" s="830"/>
      <c r="K36" s="830"/>
      <c r="L36" s="830"/>
      <c r="M36" s="830"/>
      <c r="N36" s="830"/>
    </row>
    <row r="37" spans="1:14" x14ac:dyDescent="0.3">
      <c r="A37" s="830"/>
      <c r="B37" s="830"/>
      <c r="C37" s="830"/>
      <c r="D37" s="830"/>
      <c r="E37" s="830"/>
      <c r="F37" s="830"/>
      <c r="G37" s="830"/>
      <c r="H37" s="830"/>
      <c r="I37" s="830"/>
      <c r="J37" s="830"/>
      <c r="K37" s="830"/>
      <c r="L37" s="830"/>
      <c r="M37" s="830"/>
      <c r="N37" s="830"/>
    </row>
    <row r="38" spans="1:14" x14ac:dyDescent="0.3">
      <c r="A38" s="830"/>
      <c r="B38" s="830"/>
      <c r="C38" s="830"/>
      <c r="D38" s="830"/>
      <c r="E38" s="830"/>
      <c r="F38" s="830"/>
      <c r="G38" s="830"/>
      <c r="H38" s="830"/>
      <c r="I38" s="830"/>
      <c r="J38" s="830"/>
      <c r="K38" s="830"/>
      <c r="L38" s="830"/>
      <c r="M38" s="830"/>
      <c r="N38" s="830"/>
    </row>
    <row r="39" spans="1:14" x14ac:dyDescent="0.3">
      <c r="A39" s="830"/>
      <c r="B39" s="830"/>
      <c r="C39" s="830"/>
      <c r="D39" s="830"/>
      <c r="E39" s="830"/>
      <c r="F39" s="830"/>
      <c r="G39" s="830"/>
      <c r="H39" s="830"/>
      <c r="I39" s="830"/>
      <c r="J39" s="830"/>
      <c r="K39" s="830"/>
      <c r="L39" s="830"/>
      <c r="M39" s="830"/>
      <c r="N39" s="830"/>
    </row>
    <row r="40" spans="1:14" x14ac:dyDescent="0.3">
      <c r="A40" s="830"/>
      <c r="B40" s="830"/>
      <c r="C40" s="830"/>
      <c r="D40" s="830"/>
      <c r="E40" s="830"/>
      <c r="F40" s="830"/>
      <c r="G40" s="830"/>
      <c r="H40" s="830"/>
      <c r="I40" s="830"/>
      <c r="J40" s="830"/>
      <c r="K40" s="830"/>
      <c r="L40" s="830"/>
      <c r="M40" s="830"/>
      <c r="N40" s="830"/>
    </row>
    <row r="41" spans="1:14" x14ac:dyDescent="0.3">
      <c r="A41" s="830"/>
      <c r="B41" s="830"/>
      <c r="C41" s="830"/>
      <c r="D41" s="830"/>
      <c r="E41" s="830"/>
      <c r="F41" s="830"/>
      <c r="G41" s="830"/>
      <c r="H41" s="830"/>
      <c r="I41" s="830"/>
      <c r="J41" s="830"/>
      <c r="K41" s="830"/>
      <c r="L41" s="830"/>
      <c r="M41" s="830"/>
      <c r="N41" s="830"/>
    </row>
    <row r="42" spans="1:14" x14ac:dyDescent="0.3">
      <c r="A42" s="830"/>
      <c r="B42" s="830"/>
      <c r="C42" s="830"/>
      <c r="D42" s="830"/>
      <c r="E42" s="830"/>
      <c r="F42" s="830"/>
      <c r="G42" s="830"/>
      <c r="H42" s="830"/>
      <c r="I42" s="830"/>
      <c r="J42" s="830"/>
      <c r="K42" s="830"/>
      <c r="L42" s="830"/>
      <c r="M42" s="830"/>
      <c r="N42" s="830"/>
    </row>
    <row r="43" spans="1:14" x14ac:dyDescent="0.3">
      <c r="A43" s="830"/>
      <c r="B43" s="830"/>
      <c r="C43" s="830"/>
      <c r="D43" s="830"/>
      <c r="E43" s="830"/>
      <c r="F43" s="830"/>
      <c r="G43" s="830"/>
      <c r="H43" s="830"/>
      <c r="I43" s="830"/>
      <c r="J43" s="830"/>
      <c r="K43" s="830"/>
      <c r="L43" s="830"/>
      <c r="M43" s="830"/>
      <c r="N43" s="830"/>
    </row>
    <row r="44" spans="1:14" x14ac:dyDescent="0.3">
      <c r="A44" s="830"/>
      <c r="B44" s="830"/>
      <c r="C44" s="830"/>
      <c r="D44" s="830"/>
      <c r="E44" s="830"/>
      <c r="F44" s="830"/>
      <c r="G44" s="830"/>
      <c r="H44" s="830"/>
      <c r="I44" s="830"/>
      <c r="J44" s="830"/>
      <c r="K44" s="830"/>
      <c r="L44" s="830"/>
      <c r="M44" s="830"/>
      <c r="N44" s="830"/>
    </row>
    <row r="45" spans="1:14" x14ac:dyDescent="0.3">
      <c r="A45" s="830"/>
      <c r="B45" s="830"/>
      <c r="C45" s="830"/>
      <c r="D45" s="830"/>
      <c r="E45" s="830"/>
      <c r="F45" s="830"/>
      <c r="G45" s="830"/>
      <c r="H45" s="830"/>
      <c r="I45" s="830"/>
      <c r="J45" s="830"/>
      <c r="K45" s="830"/>
      <c r="L45" s="830"/>
      <c r="M45" s="830"/>
      <c r="N45" s="830"/>
    </row>
    <row r="46" spans="1:14" x14ac:dyDescent="0.3">
      <c r="A46" s="830"/>
      <c r="B46" s="830"/>
      <c r="C46" s="830"/>
      <c r="D46" s="830"/>
      <c r="E46" s="830"/>
      <c r="F46" s="830"/>
      <c r="G46" s="830"/>
      <c r="H46" s="830"/>
      <c r="I46" s="830"/>
      <c r="J46" s="830"/>
      <c r="K46" s="830"/>
      <c r="L46" s="830"/>
      <c r="M46" s="830"/>
      <c r="N46" s="830"/>
    </row>
    <row r="47" spans="1:14" x14ac:dyDescent="0.3">
      <c r="A47" s="830"/>
      <c r="B47" s="830"/>
      <c r="C47" s="830"/>
      <c r="D47" s="830"/>
      <c r="E47" s="830"/>
      <c r="F47" s="830"/>
      <c r="G47" s="830"/>
      <c r="H47" s="830"/>
      <c r="I47" s="830"/>
      <c r="J47" s="830"/>
      <c r="K47" s="830"/>
      <c r="L47" s="830"/>
      <c r="M47" s="830"/>
      <c r="N47" s="830"/>
    </row>
    <row r="48" spans="1:14" x14ac:dyDescent="0.3">
      <c r="A48" s="830"/>
      <c r="B48" s="830"/>
      <c r="C48" s="830"/>
      <c r="D48" s="830"/>
      <c r="E48" s="830"/>
      <c r="F48" s="830"/>
      <c r="G48" s="830"/>
      <c r="H48" s="830"/>
      <c r="I48" s="830"/>
      <c r="J48" s="830"/>
      <c r="K48" s="830"/>
      <c r="L48" s="830"/>
      <c r="M48" s="830"/>
      <c r="N48" s="830"/>
    </row>
    <row r="49" spans="1:14" x14ac:dyDescent="0.3">
      <c r="A49" s="830"/>
      <c r="B49" s="830"/>
      <c r="C49" s="830"/>
      <c r="D49" s="830"/>
      <c r="E49" s="830"/>
      <c r="F49" s="830"/>
      <c r="G49" s="830"/>
      <c r="H49" s="830"/>
      <c r="I49" s="830"/>
      <c r="J49" s="830"/>
      <c r="K49" s="830"/>
      <c r="L49" s="830"/>
      <c r="M49" s="830"/>
      <c r="N49" s="830"/>
    </row>
    <row r="50" spans="1:14" x14ac:dyDescent="0.3">
      <c r="A50" s="830"/>
      <c r="B50" s="830"/>
      <c r="C50" s="830"/>
      <c r="D50" s="830"/>
      <c r="E50" s="830"/>
      <c r="F50" s="830"/>
      <c r="G50" s="830"/>
      <c r="H50" s="830"/>
      <c r="I50" s="830"/>
      <c r="J50" s="830"/>
      <c r="K50" s="830"/>
      <c r="L50" s="830"/>
      <c r="M50" s="830"/>
      <c r="N50" s="830"/>
    </row>
    <row r="51" spans="1:14" x14ac:dyDescent="0.3">
      <c r="A51" s="830"/>
      <c r="B51" s="830"/>
      <c r="C51" s="830"/>
      <c r="D51" s="830"/>
      <c r="E51" s="830"/>
      <c r="F51" s="830"/>
      <c r="G51" s="830"/>
      <c r="H51" s="830"/>
      <c r="I51" s="830"/>
      <c r="J51" s="830"/>
      <c r="K51" s="830"/>
      <c r="L51" s="830"/>
      <c r="M51" s="830"/>
      <c r="N51" s="830"/>
    </row>
    <row r="52" spans="1:14" x14ac:dyDescent="0.3">
      <c r="A52" s="830"/>
      <c r="B52" s="830"/>
      <c r="C52" s="830"/>
      <c r="D52" s="830"/>
      <c r="E52" s="830"/>
      <c r="F52" s="830"/>
      <c r="G52" s="830"/>
      <c r="H52" s="830"/>
      <c r="I52" s="830"/>
      <c r="J52" s="830"/>
      <c r="K52" s="830"/>
      <c r="L52" s="830"/>
      <c r="M52" s="830"/>
      <c r="N52" s="830"/>
    </row>
    <row r="53" spans="1:14" x14ac:dyDescent="0.3">
      <c r="A53" s="830"/>
      <c r="B53" s="830"/>
      <c r="C53" s="830"/>
      <c r="D53" s="830"/>
      <c r="E53" s="830"/>
      <c r="F53" s="830"/>
      <c r="G53" s="830"/>
      <c r="H53" s="830"/>
      <c r="I53" s="830"/>
      <c r="J53" s="830"/>
      <c r="K53" s="830"/>
      <c r="L53" s="830"/>
      <c r="M53" s="830"/>
      <c r="N53" s="830"/>
    </row>
    <row r="54" spans="1:14" x14ac:dyDescent="0.3">
      <c r="A54" s="830"/>
      <c r="B54" s="830"/>
      <c r="C54" s="830"/>
      <c r="D54" s="830"/>
      <c r="E54" s="830"/>
      <c r="F54" s="830"/>
      <c r="G54" s="830"/>
      <c r="H54" s="830"/>
      <c r="I54" s="830"/>
      <c r="J54" s="830"/>
      <c r="K54" s="830"/>
      <c r="L54" s="830"/>
      <c r="M54" s="830"/>
      <c r="N54" s="830"/>
    </row>
    <row r="55" spans="1:14" x14ac:dyDescent="0.3">
      <c r="A55" s="830"/>
      <c r="B55" s="830"/>
      <c r="C55" s="830"/>
      <c r="D55" s="830"/>
      <c r="E55" s="830"/>
      <c r="F55" s="830"/>
      <c r="G55" s="830"/>
      <c r="H55" s="830"/>
      <c r="I55" s="830"/>
      <c r="J55" s="830"/>
      <c r="K55" s="830"/>
      <c r="L55" s="830"/>
      <c r="M55" s="830"/>
      <c r="N55" s="830"/>
    </row>
    <row r="56" spans="1:14" x14ac:dyDescent="0.3">
      <c r="A56" s="830"/>
      <c r="B56" s="830"/>
      <c r="C56" s="830"/>
      <c r="D56" s="830"/>
      <c r="E56" s="830"/>
      <c r="F56" s="830"/>
      <c r="G56" s="830"/>
      <c r="H56" s="830"/>
      <c r="I56" s="830"/>
      <c r="J56" s="830"/>
      <c r="K56" s="830"/>
      <c r="L56" s="830"/>
      <c r="M56" s="830"/>
      <c r="N56" s="830"/>
    </row>
    <row r="57" spans="1:14" x14ac:dyDescent="0.3">
      <c r="A57" s="830"/>
      <c r="B57" s="830"/>
      <c r="C57" s="830"/>
      <c r="D57" s="830"/>
      <c r="E57" s="830"/>
      <c r="F57" s="830"/>
      <c r="G57" s="830"/>
      <c r="H57" s="830"/>
      <c r="I57" s="830"/>
      <c r="J57" s="830"/>
      <c r="K57" s="830"/>
      <c r="L57" s="830"/>
      <c r="M57" s="830"/>
      <c r="N57" s="830"/>
    </row>
    <row r="58" spans="1:14" x14ac:dyDescent="0.3">
      <c r="A58" s="830"/>
      <c r="B58" s="830"/>
      <c r="C58" s="830"/>
      <c r="D58" s="830"/>
      <c r="E58" s="830"/>
      <c r="F58" s="830"/>
      <c r="G58" s="830"/>
      <c r="H58" s="830"/>
      <c r="I58" s="830"/>
      <c r="J58" s="830"/>
      <c r="K58" s="830"/>
      <c r="L58" s="830"/>
      <c r="M58" s="830"/>
      <c r="N58" s="830"/>
    </row>
    <row r="59" spans="1:14" x14ac:dyDescent="0.3">
      <c r="A59" s="830"/>
      <c r="B59" s="830"/>
      <c r="C59" s="830"/>
      <c r="D59" s="830"/>
      <c r="E59" s="830"/>
      <c r="F59" s="830"/>
      <c r="G59" s="830"/>
      <c r="H59" s="830"/>
      <c r="I59" s="830"/>
      <c r="J59" s="830"/>
      <c r="K59" s="830"/>
      <c r="L59" s="830"/>
      <c r="M59" s="830"/>
      <c r="N59" s="830"/>
    </row>
    <row r="60" spans="1:14" x14ac:dyDescent="0.3">
      <c r="A60" s="830"/>
      <c r="B60" s="830"/>
      <c r="C60" s="830"/>
      <c r="D60" s="830"/>
      <c r="E60" s="830"/>
      <c r="F60" s="830"/>
      <c r="G60" s="830"/>
      <c r="H60" s="830"/>
      <c r="I60" s="830"/>
      <c r="J60" s="830"/>
      <c r="K60" s="830"/>
      <c r="L60" s="830"/>
      <c r="M60" s="830"/>
      <c r="N60" s="830"/>
    </row>
    <row r="61" spans="1:14" x14ac:dyDescent="0.3">
      <c r="A61" s="830"/>
      <c r="B61" s="830"/>
      <c r="C61" s="830"/>
      <c r="D61" s="830"/>
      <c r="E61" s="830"/>
      <c r="F61" s="830"/>
      <c r="G61" s="830"/>
      <c r="H61" s="830"/>
      <c r="I61" s="830"/>
      <c r="J61" s="830"/>
      <c r="K61" s="830"/>
      <c r="L61" s="830"/>
      <c r="M61" s="830"/>
      <c r="N61" s="830"/>
    </row>
    <row r="62" spans="1:14" x14ac:dyDescent="0.3">
      <c r="A62" s="830"/>
      <c r="B62" s="830"/>
      <c r="C62" s="830"/>
      <c r="D62" s="830"/>
      <c r="E62" s="830"/>
      <c r="F62" s="830"/>
      <c r="G62" s="830"/>
      <c r="H62" s="830"/>
      <c r="I62" s="830"/>
      <c r="J62" s="830"/>
      <c r="K62" s="830"/>
      <c r="L62" s="830"/>
      <c r="M62" s="830"/>
      <c r="N62" s="830"/>
    </row>
    <row r="63" spans="1:14" x14ac:dyDescent="0.3">
      <c r="A63" s="830"/>
      <c r="B63" s="830"/>
      <c r="C63" s="830"/>
      <c r="D63" s="830"/>
      <c r="E63" s="830"/>
      <c r="F63" s="830"/>
      <c r="G63" s="830"/>
      <c r="H63" s="830"/>
      <c r="I63" s="830"/>
      <c r="J63" s="830"/>
      <c r="K63" s="830"/>
      <c r="L63" s="830"/>
      <c r="M63" s="830"/>
      <c r="N63" s="830"/>
    </row>
    <row r="64" spans="1:14" x14ac:dyDescent="0.3">
      <c r="A64" s="830"/>
      <c r="B64" s="830"/>
      <c r="C64" s="830"/>
      <c r="D64" s="830"/>
      <c r="E64" s="830"/>
      <c r="F64" s="830"/>
      <c r="G64" s="830"/>
      <c r="H64" s="830"/>
      <c r="I64" s="830"/>
      <c r="J64" s="830"/>
      <c r="K64" s="830"/>
      <c r="L64" s="830"/>
      <c r="M64" s="830"/>
      <c r="N64" s="830"/>
    </row>
    <row r="65" spans="1:14" x14ac:dyDescent="0.3">
      <c r="A65" s="830"/>
      <c r="B65" s="830"/>
      <c r="C65" s="830"/>
      <c r="D65" s="830"/>
      <c r="E65" s="830"/>
      <c r="F65" s="830"/>
      <c r="G65" s="830"/>
      <c r="H65" s="830"/>
      <c r="I65" s="830"/>
      <c r="J65" s="830"/>
      <c r="K65" s="830"/>
      <c r="L65" s="830"/>
      <c r="M65" s="830"/>
      <c r="N65" s="830"/>
    </row>
    <row r="66" spans="1:14" x14ac:dyDescent="0.3">
      <c r="A66" s="830"/>
      <c r="B66" s="830"/>
      <c r="C66" s="830"/>
      <c r="D66" s="830"/>
      <c r="E66" s="830"/>
      <c r="F66" s="830"/>
      <c r="G66" s="830"/>
      <c r="H66" s="830"/>
      <c r="I66" s="830"/>
      <c r="J66" s="830"/>
      <c r="K66" s="830"/>
      <c r="L66" s="830"/>
      <c r="M66" s="830"/>
      <c r="N66" s="830"/>
    </row>
    <row r="67" spans="1:14" x14ac:dyDescent="0.3">
      <c r="A67" s="830"/>
      <c r="B67" s="830"/>
      <c r="C67" s="830"/>
      <c r="D67" s="830"/>
      <c r="E67" s="830"/>
      <c r="F67" s="830"/>
      <c r="G67" s="830"/>
      <c r="H67" s="830"/>
      <c r="I67" s="830"/>
      <c r="J67" s="830"/>
      <c r="K67" s="830"/>
      <c r="L67" s="830"/>
      <c r="M67" s="830"/>
      <c r="N67" s="830"/>
    </row>
    <row r="68" spans="1:14" x14ac:dyDescent="0.3">
      <c r="A68" s="830"/>
      <c r="B68" s="830"/>
      <c r="C68" s="830"/>
      <c r="D68" s="830"/>
      <c r="E68" s="830"/>
      <c r="F68" s="830"/>
      <c r="G68" s="830"/>
      <c r="H68" s="830"/>
      <c r="I68" s="830"/>
      <c r="J68" s="830"/>
      <c r="K68" s="830"/>
      <c r="L68" s="830"/>
      <c r="M68" s="830"/>
      <c r="N68" s="830"/>
    </row>
    <row r="69" spans="1:14" x14ac:dyDescent="0.3">
      <c r="A69" s="830"/>
      <c r="B69" s="830"/>
      <c r="C69" s="830"/>
      <c r="D69" s="830"/>
      <c r="E69" s="830"/>
      <c r="F69" s="830"/>
      <c r="G69" s="830"/>
      <c r="H69" s="830"/>
      <c r="I69" s="830"/>
      <c r="J69" s="830"/>
      <c r="K69" s="830"/>
      <c r="L69" s="830"/>
      <c r="M69" s="830"/>
      <c r="N69" s="830"/>
    </row>
    <row r="70" spans="1:14" x14ac:dyDescent="0.3">
      <c r="A70" s="830"/>
      <c r="B70" s="830"/>
      <c r="C70" s="830"/>
      <c r="D70" s="830"/>
      <c r="E70" s="830"/>
      <c r="F70" s="830"/>
      <c r="G70" s="830"/>
      <c r="H70" s="830"/>
      <c r="I70" s="830"/>
      <c r="J70" s="830"/>
      <c r="K70" s="830"/>
      <c r="L70" s="830"/>
      <c r="M70" s="830"/>
      <c r="N70" s="830"/>
    </row>
    <row r="71" spans="1:14" x14ac:dyDescent="0.3">
      <c r="A71" s="830"/>
      <c r="B71" s="830"/>
      <c r="C71" s="830"/>
      <c r="D71" s="830"/>
      <c r="E71" s="830"/>
      <c r="F71" s="830"/>
      <c r="G71" s="830"/>
      <c r="H71" s="830"/>
      <c r="I71" s="830"/>
      <c r="J71" s="830"/>
      <c r="K71" s="830"/>
      <c r="L71" s="830"/>
      <c r="M71" s="830"/>
      <c r="N71" s="830"/>
    </row>
    <row r="72" spans="1:14" x14ac:dyDescent="0.3">
      <c r="A72" s="830"/>
      <c r="B72" s="830"/>
      <c r="C72" s="830"/>
      <c r="D72" s="830"/>
      <c r="E72" s="830"/>
      <c r="F72" s="830"/>
      <c r="G72" s="830"/>
      <c r="H72" s="830"/>
      <c r="I72" s="830"/>
      <c r="J72" s="830"/>
      <c r="K72" s="830"/>
      <c r="L72" s="830"/>
      <c r="M72" s="830"/>
      <c r="N72" s="830"/>
    </row>
    <row r="73" spans="1:14" x14ac:dyDescent="0.3">
      <c r="A73" s="830"/>
      <c r="B73" s="830"/>
      <c r="C73" s="830"/>
      <c r="D73" s="830"/>
      <c r="E73" s="830"/>
      <c r="F73" s="830"/>
      <c r="G73" s="830"/>
      <c r="H73" s="830"/>
      <c r="I73" s="830"/>
      <c r="J73" s="830"/>
      <c r="K73" s="830"/>
      <c r="L73" s="830"/>
      <c r="M73" s="830"/>
      <c r="N73" s="830"/>
    </row>
    <row r="74" spans="1:14" x14ac:dyDescent="0.3">
      <c r="A74" s="830"/>
      <c r="B74" s="830"/>
      <c r="C74" s="830"/>
      <c r="D74" s="830"/>
      <c r="E74" s="830"/>
      <c r="F74" s="830"/>
      <c r="G74" s="830"/>
      <c r="H74" s="830"/>
      <c r="I74" s="830"/>
      <c r="J74" s="830"/>
      <c r="K74" s="830"/>
      <c r="L74" s="830"/>
      <c r="M74" s="830"/>
      <c r="N74" s="830"/>
    </row>
    <row r="75" spans="1:14" x14ac:dyDescent="0.3">
      <c r="A75" s="830"/>
      <c r="B75" s="830"/>
      <c r="C75" s="830"/>
      <c r="D75" s="830"/>
      <c r="E75" s="830"/>
      <c r="F75" s="830"/>
      <c r="G75" s="830"/>
      <c r="H75" s="830"/>
      <c r="I75" s="830"/>
      <c r="J75" s="830"/>
      <c r="K75" s="830"/>
      <c r="L75" s="830"/>
      <c r="M75" s="830"/>
      <c r="N75" s="830"/>
    </row>
    <row r="76" spans="1:14" x14ac:dyDescent="0.3">
      <c r="A76" s="830"/>
      <c r="B76" s="830"/>
      <c r="C76" s="830"/>
      <c r="D76" s="830"/>
      <c r="E76" s="830"/>
      <c r="F76" s="830"/>
      <c r="G76" s="830"/>
      <c r="H76" s="830"/>
      <c r="I76" s="830"/>
      <c r="J76" s="830"/>
      <c r="K76" s="830"/>
      <c r="L76" s="830"/>
      <c r="M76" s="830"/>
      <c r="N76" s="830"/>
    </row>
    <row r="77" spans="1:14" x14ac:dyDescent="0.3">
      <c r="A77" s="830"/>
      <c r="B77" s="830"/>
      <c r="C77" s="830"/>
      <c r="D77" s="830"/>
      <c r="E77" s="830"/>
      <c r="F77" s="830"/>
      <c r="G77" s="830"/>
      <c r="H77" s="830"/>
      <c r="I77" s="830"/>
      <c r="J77" s="830"/>
      <c r="K77" s="830"/>
      <c r="L77" s="830"/>
      <c r="M77" s="830"/>
      <c r="N77" s="830"/>
    </row>
    <row r="78" spans="1:14" x14ac:dyDescent="0.3">
      <c r="A78" s="830"/>
      <c r="B78" s="830"/>
      <c r="C78" s="830"/>
      <c r="D78" s="830"/>
      <c r="E78" s="830"/>
      <c r="F78" s="830"/>
      <c r="G78" s="830"/>
      <c r="H78" s="830"/>
      <c r="I78" s="830"/>
      <c r="J78" s="830"/>
      <c r="K78" s="830"/>
      <c r="L78" s="830"/>
      <c r="M78" s="830"/>
      <c r="N78" s="830"/>
    </row>
    <row r="79" spans="1:14" x14ac:dyDescent="0.3">
      <c r="A79" s="830"/>
      <c r="B79" s="830"/>
      <c r="C79" s="830"/>
      <c r="D79" s="830"/>
      <c r="E79" s="830"/>
      <c r="F79" s="830"/>
      <c r="G79" s="830"/>
      <c r="H79" s="830"/>
      <c r="I79" s="830"/>
      <c r="J79" s="830"/>
      <c r="K79" s="830"/>
      <c r="L79" s="830"/>
      <c r="M79" s="830"/>
      <c r="N79" s="830"/>
    </row>
    <row r="80" spans="1:14" x14ac:dyDescent="0.3">
      <c r="A80" s="830"/>
      <c r="B80" s="830"/>
      <c r="C80" s="830"/>
      <c r="D80" s="830"/>
      <c r="E80" s="830"/>
      <c r="F80" s="830"/>
      <c r="G80" s="830"/>
      <c r="H80" s="830"/>
      <c r="I80" s="830"/>
      <c r="J80" s="830"/>
      <c r="K80" s="830"/>
      <c r="L80" s="830"/>
      <c r="M80" s="830"/>
      <c r="N80" s="830"/>
    </row>
    <row r="81" spans="1:14" x14ac:dyDescent="0.3">
      <c r="A81" s="830"/>
      <c r="B81" s="830"/>
      <c r="C81" s="830"/>
      <c r="D81" s="830"/>
      <c r="E81" s="830"/>
      <c r="F81" s="830"/>
      <c r="G81" s="830"/>
      <c r="H81" s="830"/>
      <c r="I81" s="830"/>
      <c r="J81" s="830"/>
      <c r="K81" s="830"/>
      <c r="L81" s="830"/>
      <c r="M81" s="830"/>
      <c r="N81" s="830"/>
    </row>
    <row r="82" spans="1:14" x14ac:dyDescent="0.3">
      <c r="A82" s="830"/>
      <c r="B82" s="830"/>
      <c r="C82" s="830"/>
      <c r="D82" s="830"/>
      <c r="E82" s="830"/>
      <c r="F82" s="830"/>
      <c r="G82" s="830"/>
      <c r="H82" s="830"/>
      <c r="I82" s="830"/>
      <c r="J82" s="830"/>
      <c r="K82" s="830"/>
      <c r="L82" s="830"/>
      <c r="M82" s="830"/>
      <c r="N82" s="830"/>
    </row>
    <row r="83" spans="1:14" x14ac:dyDescent="0.3">
      <c r="A83" s="830"/>
      <c r="B83" s="830"/>
      <c r="C83" s="830"/>
      <c r="D83" s="830"/>
      <c r="E83" s="830"/>
      <c r="F83" s="830"/>
      <c r="G83" s="830"/>
      <c r="H83" s="830"/>
      <c r="I83" s="830"/>
      <c r="J83" s="830"/>
      <c r="K83" s="830"/>
      <c r="L83" s="830"/>
      <c r="M83" s="830"/>
      <c r="N83" s="830"/>
    </row>
    <row r="84" spans="1:14" x14ac:dyDescent="0.3">
      <c r="A84" s="830"/>
      <c r="B84" s="830"/>
      <c r="C84" s="830"/>
      <c r="D84" s="830"/>
      <c r="E84" s="830"/>
      <c r="F84" s="830"/>
      <c r="G84" s="830"/>
      <c r="H84" s="830"/>
      <c r="I84" s="830"/>
      <c r="J84" s="830"/>
      <c r="K84" s="830"/>
      <c r="L84" s="830"/>
      <c r="M84" s="830"/>
      <c r="N84" s="830"/>
    </row>
    <row r="85" spans="1:14" x14ac:dyDescent="0.3">
      <c r="A85" s="830"/>
      <c r="B85" s="830"/>
      <c r="C85" s="830"/>
      <c r="D85" s="830"/>
      <c r="E85" s="830"/>
      <c r="F85" s="830"/>
      <c r="G85" s="830"/>
      <c r="H85" s="830"/>
      <c r="I85" s="830"/>
      <c r="J85" s="830"/>
      <c r="K85" s="830"/>
      <c r="L85" s="830"/>
      <c r="M85" s="830"/>
      <c r="N85" s="830"/>
    </row>
    <row r="86" spans="1:14" x14ac:dyDescent="0.3">
      <c r="A86" s="830"/>
      <c r="B86" s="830"/>
      <c r="C86" s="830"/>
      <c r="D86" s="830"/>
      <c r="E86" s="830"/>
      <c r="F86" s="830"/>
      <c r="G86" s="830"/>
      <c r="H86" s="830"/>
      <c r="I86" s="830"/>
      <c r="J86" s="830"/>
      <c r="K86" s="830"/>
      <c r="L86" s="830"/>
      <c r="M86" s="830"/>
      <c r="N86" s="830"/>
    </row>
    <row r="87" spans="1:14" x14ac:dyDescent="0.3">
      <c r="A87" s="830"/>
      <c r="B87" s="830"/>
      <c r="C87" s="830"/>
      <c r="D87" s="830"/>
      <c r="E87" s="830"/>
      <c r="F87" s="830"/>
      <c r="G87" s="830"/>
      <c r="H87" s="830"/>
      <c r="I87" s="830"/>
      <c r="J87" s="830"/>
      <c r="K87" s="830"/>
      <c r="L87" s="830"/>
      <c r="M87" s="830"/>
      <c r="N87" s="830"/>
    </row>
    <row r="88" spans="1:14" x14ac:dyDescent="0.3">
      <c r="A88" s="830"/>
      <c r="B88" s="830"/>
      <c r="C88" s="830"/>
      <c r="D88" s="830"/>
      <c r="E88" s="830"/>
      <c r="F88" s="830"/>
      <c r="G88" s="830"/>
      <c r="H88" s="830"/>
      <c r="I88" s="830"/>
      <c r="J88" s="830"/>
      <c r="K88" s="830"/>
      <c r="L88" s="830"/>
      <c r="M88" s="830"/>
      <c r="N88" s="830"/>
    </row>
    <row r="89" spans="1:14" x14ac:dyDescent="0.3">
      <c r="A89" s="830"/>
      <c r="B89" s="830"/>
      <c r="C89" s="830"/>
      <c r="D89" s="830"/>
      <c r="E89" s="830"/>
      <c r="F89" s="830"/>
      <c r="G89" s="830"/>
      <c r="H89" s="830"/>
      <c r="I89" s="830"/>
      <c r="J89" s="830"/>
      <c r="K89" s="830"/>
      <c r="L89" s="830"/>
      <c r="M89" s="830"/>
      <c r="N89" s="830"/>
    </row>
    <row r="90" spans="1:14" x14ac:dyDescent="0.3">
      <c r="A90" s="830"/>
      <c r="B90" s="830"/>
      <c r="C90" s="830"/>
      <c r="D90" s="830"/>
      <c r="E90" s="830"/>
      <c r="F90" s="830"/>
      <c r="G90" s="830"/>
      <c r="H90" s="830"/>
      <c r="I90" s="830"/>
      <c r="J90" s="830"/>
      <c r="K90" s="830"/>
      <c r="L90" s="830"/>
      <c r="M90" s="830"/>
      <c r="N90" s="830"/>
    </row>
    <row r="91" spans="1:14" x14ac:dyDescent="0.3">
      <c r="A91" s="830"/>
      <c r="B91" s="830"/>
      <c r="C91" s="830"/>
      <c r="D91" s="830"/>
      <c r="E91" s="830"/>
      <c r="F91" s="830"/>
      <c r="G91" s="830"/>
      <c r="H91" s="830"/>
      <c r="I91" s="830"/>
      <c r="J91" s="830"/>
      <c r="K91" s="830"/>
      <c r="L91" s="830"/>
      <c r="M91" s="830"/>
      <c r="N91" s="830"/>
    </row>
    <row r="92" spans="1:14" x14ac:dyDescent="0.3">
      <c r="A92" s="830"/>
      <c r="B92" s="830"/>
      <c r="C92" s="830"/>
      <c r="D92" s="830"/>
      <c r="E92" s="830"/>
      <c r="F92" s="830"/>
      <c r="G92" s="830"/>
      <c r="H92" s="830"/>
      <c r="I92" s="830"/>
      <c r="J92" s="830"/>
      <c r="K92" s="830"/>
      <c r="L92" s="830"/>
      <c r="M92" s="830"/>
      <c r="N92" s="830"/>
    </row>
    <row r="93" spans="1:14" x14ac:dyDescent="0.3">
      <c r="A93" s="830"/>
      <c r="B93" s="830"/>
      <c r="C93" s="830"/>
      <c r="D93" s="830"/>
      <c r="E93" s="830"/>
      <c r="F93" s="830"/>
      <c r="G93" s="830"/>
      <c r="H93" s="830"/>
      <c r="I93" s="830"/>
      <c r="J93" s="830"/>
      <c r="K93" s="830"/>
      <c r="L93" s="830"/>
      <c r="M93" s="830"/>
      <c r="N93" s="830"/>
    </row>
    <row r="94" spans="1:14" x14ac:dyDescent="0.3">
      <c r="A94" s="830"/>
      <c r="B94" s="830"/>
      <c r="C94" s="830"/>
      <c r="D94" s="830"/>
      <c r="E94" s="830"/>
      <c r="F94" s="830"/>
      <c r="G94" s="830"/>
      <c r="H94" s="830"/>
      <c r="I94" s="830"/>
      <c r="J94" s="830"/>
      <c r="K94" s="830"/>
      <c r="L94" s="830"/>
      <c r="M94" s="830"/>
      <c r="N94" s="830"/>
    </row>
    <row r="95" spans="1:14" x14ac:dyDescent="0.3">
      <c r="A95" s="830"/>
      <c r="B95" s="830"/>
      <c r="C95" s="830"/>
      <c r="D95" s="830"/>
      <c r="E95" s="830"/>
      <c r="F95" s="830"/>
      <c r="G95" s="830"/>
      <c r="H95" s="830"/>
      <c r="I95" s="830"/>
      <c r="J95" s="830"/>
      <c r="K95" s="830"/>
      <c r="L95" s="830"/>
      <c r="M95" s="830"/>
      <c r="N95" s="830"/>
    </row>
    <row r="96" spans="1:14" x14ac:dyDescent="0.3">
      <c r="A96" s="830"/>
      <c r="B96" s="830"/>
      <c r="C96" s="830"/>
      <c r="D96" s="830"/>
      <c r="E96" s="830"/>
      <c r="F96" s="830"/>
      <c r="G96" s="830"/>
      <c r="H96" s="830"/>
      <c r="I96" s="830"/>
      <c r="J96" s="830"/>
      <c r="K96" s="830"/>
      <c r="L96" s="830"/>
      <c r="M96" s="830"/>
      <c r="N96" s="830"/>
    </row>
    <row r="97" spans="1:14" x14ac:dyDescent="0.3">
      <c r="A97" s="830"/>
      <c r="B97" s="830"/>
      <c r="C97" s="830"/>
      <c r="D97" s="830"/>
      <c r="E97" s="830"/>
      <c r="F97" s="830"/>
      <c r="G97" s="830"/>
      <c r="H97" s="830"/>
      <c r="I97" s="830"/>
      <c r="J97" s="830"/>
      <c r="K97" s="830"/>
      <c r="L97" s="830"/>
      <c r="M97" s="830"/>
      <c r="N97" s="830"/>
    </row>
    <row r="98" spans="1:14" x14ac:dyDescent="0.3">
      <c r="A98" s="830"/>
      <c r="B98" s="830"/>
      <c r="C98" s="830"/>
      <c r="D98" s="830"/>
      <c r="E98" s="830"/>
      <c r="F98" s="830"/>
      <c r="G98" s="830"/>
      <c r="H98" s="830"/>
      <c r="I98" s="830"/>
      <c r="J98" s="830"/>
      <c r="K98" s="830"/>
      <c r="L98" s="830"/>
      <c r="M98" s="830"/>
      <c r="N98" s="830"/>
    </row>
    <row r="99" spans="1:14" x14ac:dyDescent="0.3">
      <c r="A99" s="830"/>
      <c r="B99" s="830"/>
      <c r="C99" s="830"/>
      <c r="D99" s="830"/>
      <c r="E99" s="830"/>
      <c r="F99" s="830"/>
      <c r="G99" s="830"/>
      <c r="H99" s="830"/>
      <c r="I99" s="830"/>
      <c r="J99" s="830"/>
      <c r="K99" s="830"/>
      <c r="L99" s="830"/>
      <c r="M99" s="830"/>
      <c r="N99" s="830"/>
    </row>
    <row r="100" spans="1:14" x14ac:dyDescent="0.3">
      <c r="A100" s="830"/>
      <c r="B100" s="830"/>
      <c r="C100" s="830"/>
      <c r="D100" s="830"/>
      <c r="E100" s="830"/>
      <c r="F100" s="830"/>
      <c r="G100" s="830"/>
      <c r="H100" s="830"/>
      <c r="I100" s="830"/>
      <c r="J100" s="830"/>
      <c r="K100" s="830"/>
      <c r="L100" s="830"/>
      <c r="M100" s="830"/>
      <c r="N100" s="830"/>
    </row>
    <row r="101" spans="1:14" x14ac:dyDescent="0.3">
      <c r="A101" s="830"/>
      <c r="B101" s="830"/>
      <c r="C101" s="830"/>
      <c r="D101" s="830"/>
      <c r="E101" s="830"/>
      <c r="F101" s="830"/>
      <c r="G101" s="830"/>
      <c r="H101" s="830"/>
      <c r="I101" s="830"/>
      <c r="J101" s="830"/>
      <c r="K101" s="830"/>
      <c r="L101" s="830"/>
      <c r="M101" s="830"/>
      <c r="N101" s="830"/>
    </row>
    <row r="102" spans="1:14" x14ac:dyDescent="0.3">
      <c r="A102" s="830"/>
      <c r="B102" s="830"/>
      <c r="C102" s="830"/>
      <c r="D102" s="830"/>
      <c r="E102" s="830"/>
      <c r="F102" s="830"/>
      <c r="G102" s="830"/>
      <c r="H102" s="830"/>
      <c r="I102" s="830"/>
      <c r="J102" s="830"/>
      <c r="K102" s="830"/>
      <c r="L102" s="830"/>
      <c r="M102" s="830"/>
      <c r="N102" s="830"/>
    </row>
    <row r="103" spans="1:14" x14ac:dyDescent="0.3">
      <c r="A103" s="830"/>
      <c r="B103" s="830"/>
      <c r="C103" s="830"/>
      <c r="D103" s="830"/>
      <c r="E103" s="830"/>
      <c r="F103" s="830"/>
      <c r="G103" s="830"/>
      <c r="H103" s="830"/>
      <c r="I103" s="830"/>
      <c r="J103" s="830"/>
      <c r="K103" s="830"/>
      <c r="L103" s="830"/>
      <c r="M103" s="830"/>
      <c r="N103" s="830"/>
    </row>
    <row r="104" spans="1:14" x14ac:dyDescent="0.3">
      <c r="A104" s="830"/>
      <c r="B104" s="830"/>
      <c r="C104" s="830"/>
      <c r="D104" s="830"/>
      <c r="E104" s="830"/>
      <c r="F104" s="830"/>
      <c r="G104" s="830"/>
      <c r="H104" s="830"/>
      <c r="I104" s="830"/>
      <c r="J104" s="830"/>
      <c r="K104" s="830"/>
      <c r="L104" s="830"/>
      <c r="M104" s="830"/>
      <c r="N104" s="830"/>
    </row>
    <row r="105" spans="1:14" x14ac:dyDescent="0.3">
      <c r="A105" s="830"/>
      <c r="B105" s="830"/>
      <c r="C105" s="830"/>
      <c r="D105" s="830"/>
      <c r="E105" s="830"/>
      <c r="F105" s="830"/>
      <c r="G105" s="830"/>
      <c r="H105" s="830"/>
      <c r="I105" s="830"/>
      <c r="J105" s="830"/>
      <c r="K105" s="830"/>
      <c r="L105" s="830"/>
      <c r="M105" s="830"/>
      <c r="N105" s="830"/>
    </row>
    <row r="106" spans="1:14" x14ac:dyDescent="0.3">
      <c r="A106" s="830"/>
      <c r="B106" s="830"/>
      <c r="C106" s="830"/>
      <c r="D106" s="830"/>
      <c r="E106" s="830"/>
      <c r="F106" s="830"/>
      <c r="G106" s="830"/>
      <c r="H106" s="830"/>
      <c r="I106" s="830"/>
      <c r="J106" s="830"/>
      <c r="K106" s="830"/>
      <c r="L106" s="830"/>
      <c r="M106" s="830"/>
      <c r="N106" s="830"/>
    </row>
    <row r="107" spans="1:14" x14ac:dyDescent="0.3">
      <c r="A107" s="830"/>
      <c r="B107" s="830"/>
      <c r="C107" s="830"/>
      <c r="D107" s="830"/>
      <c r="E107" s="830"/>
      <c r="F107" s="830"/>
      <c r="G107" s="830"/>
      <c r="H107" s="830"/>
      <c r="I107" s="830"/>
      <c r="J107" s="830"/>
      <c r="K107" s="830"/>
      <c r="L107" s="830"/>
      <c r="M107" s="830"/>
      <c r="N107" s="830"/>
    </row>
    <row r="108" spans="1:14" x14ac:dyDescent="0.3">
      <c r="A108" s="830"/>
      <c r="B108" s="830"/>
      <c r="C108" s="830"/>
      <c r="D108" s="830"/>
      <c r="E108" s="830"/>
      <c r="F108" s="830"/>
      <c r="G108" s="830"/>
      <c r="H108" s="830"/>
      <c r="I108" s="830"/>
      <c r="J108" s="830"/>
      <c r="K108" s="830"/>
      <c r="L108" s="830"/>
      <c r="M108" s="830"/>
      <c r="N108" s="830"/>
    </row>
    <row r="109" spans="1:14" x14ac:dyDescent="0.3">
      <c r="A109" s="830"/>
      <c r="B109" s="830"/>
      <c r="C109" s="830"/>
      <c r="D109" s="830"/>
      <c r="E109" s="830"/>
      <c r="F109" s="830"/>
      <c r="G109" s="830"/>
      <c r="H109" s="830"/>
      <c r="I109" s="830"/>
      <c r="J109" s="830"/>
      <c r="K109" s="830"/>
      <c r="L109" s="830"/>
      <c r="M109" s="830"/>
      <c r="N109" s="830"/>
    </row>
    <row r="110" spans="1:14" x14ac:dyDescent="0.3">
      <c r="A110" s="830"/>
      <c r="B110" s="830"/>
      <c r="C110" s="830"/>
      <c r="D110" s="830"/>
      <c r="E110" s="830"/>
      <c r="F110" s="830"/>
      <c r="G110" s="830"/>
      <c r="H110" s="830"/>
      <c r="I110" s="830"/>
      <c r="J110" s="830"/>
      <c r="K110" s="830"/>
      <c r="L110" s="830"/>
      <c r="M110" s="830"/>
      <c r="N110" s="830"/>
    </row>
    <row r="111" spans="1:14" x14ac:dyDescent="0.3">
      <c r="A111" s="830"/>
      <c r="B111" s="830"/>
      <c r="C111" s="830"/>
      <c r="D111" s="830"/>
      <c r="E111" s="830"/>
      <c r="F111" s="830"/>
      <c r="G111" s="830"/>
      <c r="H111" s="830"/>
      <c r="I111" s="830"/>
      <c r="J111" s="830"/>
      <c r="K111" s="830"/>
      <c r="L111" s="830"/>
      <c r="M111" s="830"/>
      <c r="N111" s="830"/>
    </row>
    <row r="112" spans="1:14" x14ac:dyDescent="0.3">
      <c r="A112" s="830"/>
      <c r="B112" s="830"/>
      <c r="C112" s="830"/>
      <c r="D112" s="830"/>
      <c r="E112" s="830"/>
      <c r="F112" s="830"/>
      <c r="G112" s="830"/>
      <c r="H112" s="830"/>
      <c r="I112" s="830"/>
      <c r="J112" s="830"/>
      <c r="K112" s="830"/>
      <c r="L112" s="830"/>
      <c r="M112" s="830"/>
      <c r="N112" s="830"/>
    </row>
    <row r="113" spans="1:14" x14ac:dyDescent="0.3">
      <c r="A113" s="830"/>
      <c r="B113" s="830"/>
      <c r="C113" s="830"/>
      <c r="D113" s="830"/>
      <c r="E113" s="830"/>
      <c r="F113" s="830"/>
      <c r="G113" s="830"/>
      <c r="H113" s="830"/>
      <c r="I113" s="830"/>
      <c r="J113" s="830"/>
      <c r="K113" s="830"/>
      <c r="L113" s="830"/>
      <c r="M113" s="830"/>
      <c r="N113" s="830"/>
    </row>
    <row r="114" spans="1:14" x14ac:dyDescent="0.3">
      <c r="A114" s="830"/>
      <c r="B114" s="830"/>
      <c r="C114" s="830"/>
      <c r="D114" s="830"/>
      <c r="E114" s="830"/>
      <c r="F114" s="830"/>
      <c r="G114" s="830"/>
      <c r="H114" s="830"/>
      <c r="I114" s="830"/>
      <c r="J114" s="830"/>
      <c r="K114" s="830"/>
      <c r="L114" s="830"/>
      <c r="M114" s="830"/>
      <c r="N114" s="830"/>
    </row>
    <row r="115" spans="1:14" x14ac:dyDescent="0.3">
      <c r="A115" s="830"/>
      <c r="B115" s="830"/>
      <c r="C115" s="830"/>
      <c r="D115" s="830"/>
      <c r="E115" s="830"/>
      <c r="F115" s="830"/>
      <c r="G115" s="830"/>
      <c r="H115" s="830"/>
      <c r="I115" s="830"/>
      <c r="J115" s="830"/>
      <c r="K115" s="830"/>
      <c r="L115" s="830"/>
      <c r="M115" s="830"/>
      <c r="N115" s="830"/>
    </row>
    <row r="116" spans="1:14" x14ac:dyDescent="0.3">
      <c r="A116" s="830"/>
      <c r="B116" s="830"/>
      <c r="C116" s="830"/>
      <c r="D116" s="830"/>
      <c r="E116" s="830"/>
      <c r="F116" s="830"/>
      <c r="G116" s="830"/>
      <c r="H116" s="830"/>
      <c r="I116" s="830"/>
      <c r="J116" s="830"/>
      <c r="K116" s="830"/>
      <c r="L116" s="830"/>
      <c r="M116" s="830"/>
      <c r="N116" s="830"/>
    </row>
    <row r="117" spans="1:14" x14ac:dyDescent="0.3">
      <c r="A117" s="830"/>
      <c r="B117" s="830"/>
      <c r="C117" s="830"/>
      <c r="D117" s="830"/>
      <c r="E117" s="830"/>
      <c r="F117" s="830"/>
      <c r="G117" s="830"/>
      <c r="H117" s="830"/>
      <c r="I117" s="830"/>
      <c r="J117" s="830"/>
      <c r="K117" s="830"/>
      <c r="L117" s="830"/>
      <c r="M117" s="830"/>
      <c r="N117" s="830"/>
    </row>
    <row r="118" spans="1:14" x14ac:dyDescent="0.3">
      <c r="A118" s="830"/>
      <c r="B118" s="830"/>
      <c r="C118" s="830"/>
      <c r="D118" s="830"/>
      <c r="E118" s="830"/>
      <c r="F118" s="830"/>
      <c r="G118" s="830"/>
      <c r="H118" s="830"/>
      <c r="I118" s="830"/>
      <c r="J118" s="830"/>
      <c r="K118" s="830"/>
      <c r="L118" s="830"/>
      <c r="M118" s="830"/>
      <c r="N118" s="830"/>
    </row>
    <row r="119" spans="1:14" x14ac:dyDescent="0.3">
      <c r="A119" s="830"/>
      <c r="B119" s="830"/>
      <c r="C119" s="830"/>
      <c r="D119" s="830"/>
      <c r="E119" s="830"/>
      <c r="F119" s="830"/>
      <c r="G119" s="830"/>
      <c r="H119" s="830"/>
      <c r="I119" s="830"/>
      <c r="J119" s="830"/>
      <c r="K119" s="830"/>
      <c r="L119" s="830"/>
      <c r="M119" s="830"/>
      <c r="N119" s="830"/>
    </row>
    <row r="120" spans="1:14" x14ac:dyDescent="0.3">
      <c r="A120" s="830"/>
      <c r="B120" s="830"/>
      <c r="C120" s="830"/>
      <c r="D120" s="830"/>
      <c r="E120" s="830"/>
      <c r="F120" s="830"/>
      <c r="G120" s="830"/>
      <c r="H120" s="830"/>
      <c r="I120" s="830"/>
      <c r="J120" s="830"/>
      <c r="K120" s="830"/>
      <c r="L120" s="830"/>
      <c r="M120" s="830"/>
      <c r="N120" s="830"/>
    </row>
    <row r="121" spans="1:14" x14ac:dyDescent="0.3">
      <c r="A121" s="830"/>
      <c r="B121" s="830"/>
      <c r="C121" s="830"/>
      <c r="D121" s="830"/>
      <c r="E121" s="830"/>
      <c r="F121" s="830"/>
      <c r="G121" s="830"/>
      <c r="H121" s="830"/>
      <c r="I121" s="830"/>
      <c r="J121" s="830"/>
      <c r="K121" s="830"/>
      <c r="L121" s="830"/>
      <c r="M121" s="830"/>
      <c r="N121" s="830"/>
    </row>
    <row r="122" spans="1:14" x14ac:dyDescent="0.3">
      <c r="A122" s="830"/>
      <c r="B122" s="830"/>
      <c r="C122" s="830"/>
      <c r="D122" s="830"/>
      <c r="E122" s="830"/>
      <c r="F122" s="830"/>
      <c r="G122" s="830"/>
      <c r="H122" s="830"/>
      <c r="I122" s="830"/>
      <c r="J122" s="830"/>
      <c r="K122" s="830"/>
      <c r="L122" s="830"/>
      <c r="M122" s="830"/>
      <c r="N122" s="830"/>
    </row>
    <row r="123" spans="1:14" x14ac:dyDescent="0.3">
      <c r="A123" s="830"/>
      <c r="B123" s="830"/>
      <c r="C123" s="830"/>
      <c r="D123" s="830"/>
      <c r="E123" s="830"/>
      <c r="F123" s="830"/>
      <c r="G123" s="830"/>
      <c r="H123" s="830"/>
      <c r="I123" s="830"/>
      <c r="J123" s="830"/>
      <c r="K123" s="830"/>
      <c r="L123" s="830"/>
      <c r="M123" s="830"/>
      <c r="N123" s="830"/>
    </row>
    <row r="124" spans="1:14" x14ac:dyDescent="0.3">
      <c r="A124" s="830"/>
      <c r="B124" s="830"/>
      <c r="C124" s="830"/>
      <c r="D124" s="830"/>
      <c r="E124" s="830"/>
      <c r="F124" s="830"/>
      <c r="G124" s="830"/>
      <c r="H124" s="830"/>
      <c r="I124" s="830"/>
      <c r="J124" s="830"/>
      <c r="K124" s="830"/>
      <c r="L124" s="830"/>
      <c r="M124" s="830"/>
      <c r="N124" s="830"/>
    </row>
    <row r="125" spans="1:14" x14ac:dyDescent="0.3">
      <c r="A125" s="830"/>
      <c r="B125" s="830"/>
      <c r="C125" s="830"/>
      <c r="D125" s="830"/>
      <c r="E125" s="830"/>
      <c r="F125" s="830"/>
      <c r="G125" s="830"/>
      <c r="H125" s="830"/>
      <c r="I125" s="830"/>
      <c r="J125" s="830"/>
      <c r="K125" s="830"/>
      <c r="L125" s="830"/>
      <c r="M125" s="830"/>
      <c r="N125" s="830"/>
    </row>
    <row r="126" spans="1:14" x14ac:dyDescent="0.3">
      <c r="A126" s="830"/>
      <c r="B126" s="830"/>
      <c r="C126" s="830"/>
      <c r="D126" s="830"/>
      <c r="E126" s="830"/>
      <c r="F126" s="830"/>
      <c r="G126" s="830"/>
      <c r="H126" s="830"/>
      <c r="I126" s="830"/>
      <c r="J126" s="830"/>
      <c r="K126" s="830"/>
      <c r="L126" s="830"/>
      <c r="M126" s="830"/>
      <c r="N126" s="830"/>
    </row>
    <row r="127" spans="1:14" x14ac:dyDescent="0.3">
      <c r="A127" s="830"/>
      <c r="B127" s="830"/>
      <c r="C127" s="830"/>
      <c r="D127" s="830"/>
      <c r="E127" s="830"/>
      <c r="F127" s="830"/>
      <c r="G127" s="830"/>
      <c r="H127" s="830"/>
      <c r="I127" s="830"/>
      <c r="J127" s="830"/>
      <c r="K127" s="830"/>
      <c r="L127" s="830"/>
      <c r="M127" s="830"/>
      <c r="N127" s="830"/>
    </row>
    <row r="128" spans="1:14" x14ac:dyDescent="0.3">
      <c r="A128" s="830"/>
      <c r="B128" s="830"/>
      <c r="C128" s="830"/>
      <c r="D128" s="830"/>
      <c r="E128" s="830"/>
      <c r="F128" s="830"/>
      <c r="G128" s="830"/>
      <c r="H128" s="830"/>
      <c r="I128" s="830"/>
      <c r="J128" s="830"/>
      <c r="K128" s="830"/>
      <c r="L128" s="830"/>
      <c r="M128" s="830"/>
      <c r="N128" s="830"/>
    </row>
    <row r="129" spans="1:14" x14ac:dyDescent="0.3">
      <c r="A129" s="830"/>
      <c r="B129" s="830"/>
      <c r="C129" s="830"/>
      <c r="D129" s="830"/>
      <c r="E129" s="830"/>
      <c r="F129" s="830"/>
      <c r="G129" s="830"/>
      <c r="H129" s="830"/>
      <c r="I129" s="830"/>
      <c r="J129" s="830"/>
      <c r="K129" s="830"/>
      <c r="L129" s="830"/>
      <c r="M129" s="830"/>
      <c r="N129" s="830"/>
    </row>
    <row r="130" spans="1:14" x14ac:dyDescent="0.3">
      <c r="A130" s="830"/>
      <c r="B130" s="830"/>
      <c r="C130" s="830"/>
      <c r="D130" s="830"/>
      <c r="E130" s="830"/>
      <c r="F130" s="830"/>
      <c r="G130" s="830"/>
      <c r="H130" s="830"/>
      <c r="I130" s="830"/>
      <c r="J130" s="830"/>
      <c r="K130" s="830"/>
      <c r="L130" s="830"/>
      <c r="M130" s="830"/>
      <c r="N130" s="830"/>
    </row>
    <row r="131" spans="1:14" x14ac:dyDescent="0.3">
      <c r="A131" s="830"/>
      <c r="B131" s="830"/>
      <c r="C131" s="830"/>
      <c r="D131" s="830"/>
      <c r="E131" s="830"/>
      <c r="F131" s="830"/>
      <c r="G131" s="830"/>
      <c r="H131" s="830"/>
      <c r="I131" s="830"/>
      <c r="J131" s="830"/>
      <c r="K131" s="830"/>
      <c r="L131" s="830"/>
      <c r="M131" s="830"/>
      <c r="N131" s="830"/>
    </row>
    <row r="132" spans="1:14" x14ac:dyDescent="0.3">
      <c r="A132" s="830"/>
      <c r="B132" s="830"/>
      <c r="C132" s="830"/>
      <c r="D132" s="830"/>
      <c r="E132" s="830"/>
      <c r="F132" s="830"/>
      <c r="G132" s="830"/>
      <c r="H132" s="830"/>
      <c r="I132" s="830"/>
      <c r="J132" s="830"/>
      <c r="K132" s="830"/>
      <c r="L132" s="830"/>
      <c r="M132" s="830"/>
      <c r="N132" s="830"/>
    </row>
    <row r="133" spans="1:14" x14ac:dyDescent="0.3">
      <c r="A133" s="830"/>
      <c r="B133" s="830"/>
      <c r="C133" s="830"/>
      <c r="D133" s="830"/>
      <c r="E133" s="830"/>
      <c r="F133" s="830"/>
      <c r="G133" s="830"/>
      <c r="H133" s="830"/>
      <c r="I133" s="830"/>
      <c r="J133" s="830"/>
      <c r="K133" s="830"/>
      <c r="L133" s="830"/>
      <c r="M133" s="830"/>
      <c r="N133" s="830"/>
    </row>
    <row r="134" spans="1:14" x14ac:dyDescent="0.3">
      <c r="A134" s="830"/>
      <c r="B134" s="830"/>
      <c r="C134" s="830"/>
      <c r="D134" s="830"/>
      <c r="E134" s="830"/>
      <c r="F134" s="830"/>
      <c r="G134" s="830"/>
      <c r="H134" s="830"/>
      <c r="I134" s="830"/>
      <c r="J134" s="830"/>
      <c r="K134" s="830"/>
      <c r="L134" s="830"/>
      <c r="M134" s="830"/>
      <c r="N134" s="830"/>
    </row>
    <row r="135" spans="1:14" x14ac:dyDescent="0.3">
      <c r="A135" s="830"/>
      <c r="B135" s="830"/>
      <c r="C135" s="830"/>
      <c r="D135" s="830"/>
      <c r="E135" s="830"/>
      <c r="F135" s="830"/>
      <c r="G135" s="830"/>
      <c r="H135" s="830"/>
      <c r="I135" s="830"/>
      <c r="J135" s="830"/>
      <c r="K135" s="830"/>
      <c r="L135" s="830"/>
      <c r="M135" s="830"/>
      <c r="N135" s="830"/>
    </row>
    <row r="136" spans="1:14" x14ac:dyDescent="0.3">
      <c r="A136" s="830"/>
      <c r="B136" s="830"/>
      <c r="C136" s="830"/>
      <c r="D136" s="830"/>
      <c r="E136" s="830"/>
      <c r="F136" s="830"/>
      <c r="G136" s="830"/>
      <c r="H136" s="830"/>
      <c r="I136" s="830"/>
      <c r="J136" s="830"/>
      <c r="K136" s="830"/>
      <c r="L136" s="830"/>
      <c r="M136" s="830"/>
      <c r="N136" s="830"/>
    </row>
    <row r="137" spans="1:14" x14ac:dyDescent="0.3">
      <c r="A137" s="830"/>
      <c r="B137" s="830"/>
      <c r="C137" s="830"/>
      <c r="D137" s="830"/>
      <c r="E137" s="830"/>
      <c r="F137" s="830"/>
      <c r="G137" s="830"/>
      <c r="H137" s="830"/>
      <c r="I137" s="830"/>
      <c r="J137" s="830"/>
      <c r="K137" s="830"/>
      <c r="L137" s="830"/>
      <c r="M137" s="830"/>
      <c r="N137" s="830"/>
    </row>
    <row r="138" spans="1:14" x14ac:dyDescent="0.3">
      <c r="A138" s="830"/>
      <c r="B138" s="830"/>
      <c r="C138" s="830"/>
      <c r="D138" s="830"/>
      <c r="E138" s="830"/>
      <c r="F138" s="830"/>
      <c r="G138" s="830"/>
      <c r="H138" s="830"/>
      <c r="I138" s="830"/>
      <c r="J138" s="830"/>
      <c r="K138" s="830"/>
      <c r="L138" s="830"/>
      <c r="M138" s="830"/>
      <c r="N138" s="830"/>
    </row>
    <row r="139" spans="1:14" x14ac:dyDescent="0.3">
      <c r="A139" s="830"/>
      <c r="B139" s="830"/>
      <c r="C139" s="830"/>
      <c r="D139" s="830"/>
      <c r="E139" s="830"/>
      <c r="F139" s="830"/>
      <c r="G139" s="830"/>
      <c r="H139" s="830"/>
      <c r="I139" s="830"/>
      <c r="J139" s="830"/>
      <c r="K139" s="830"/>
      <c r="L139" s="830"/>
      <c r="M139" s="830"/>
      <c r="N139" s="830"/>
    </row>
    <row r="140" spans="1:14" x14ac:dyDescent="0.3">
      <c r="A140" s="830"/>
      <c r="B140" s="830"/>
      <c r="C140" s="830"/>
      <c r="D140" s="830"/>
      <c r="E140" s="830"/>
      <c r="F140" s="830"/>
      <c r="G140" s="830"/>
      <c r="H140" s="830"/>
      <c r="I140" s="830"/>
      <c r="J140" s="830"/>
      <c r="K140" s="830"/>
      <c r="L140" s="830"/>
      <c r="M140" s="830"/>
      <c r="N140" s="830"/>
    </row>
    <row r="141" spans="1:14" x14ac:dyDescent="0.3">
      <c r="A141" s="830"/>
      <c r="B141" s="830"/>
      <c r="C141" s="830"/>
      <c r="D141" s="830"/>
      <c r="E141" s="830"/>
      <c r="F141" s="830"/>
      <c r="G141" s="830"/>
      <c r="H141" s="830"/>
      <c r="I141" s="830"/>
      <c r="J141" s="830"/>
      <c r="K141" s="830"/>
      <c r="L141" s="830"/>
      <c r="M141" s="830"/>
      <c r="N141" s="830"/>
    </row>
    <row r="142" spans="1:14" x14ac:dyDescent="0.3">
      <c r="A142" s="830"/>
      <c r="B142" s="830"/>
      <c r="C142" s="830"/>
      <c r="D142" s="830"/>
      <c r="E142" s="830"/>
      <c r="F142" s="830"/>
      <c r="G142" s="830"/>
      <c r="H142" s="830"/>
      <c r="I142" s="830"/>
      <c r="J142" s="830"/>
      <c r="K142" s="830"/>
      <c r="L142" s="830"/>
      <c r="M142" s="830"/>
      <c r="N142" s="830"/>
    </row>
    <row r="143" spans="1:14" x14ac:dyDescent="0.3">
      <c r="A143" s="830"/>
      <c r="B143" s="830"/>
      <c r="C143" s="830"/>
      <c r="D143" s="830"/>
      <c r="E143" s="830"/>
      <c r="F143" s="830"/>
      <c r="G143" s="830"/>
      <c r="H143" s="830"/>
      <c r="I143" s="830"/>
      <c r="J143" s="830"/>
      <c r="K143" s="830"/>
      <c r="L143" s="830"/>
      <c r="M143" s="830"/>
      <c r="N143" s="830"/>
    </row>
    <row r="144" spans="1:14" x14ac:dyDescent="0.3">
      <c r="A144" s="830"/>
      <c r="B144" s="830"/>
      <c r="C144" s="830"/>
      <c r="D144" s="830"/>
      <c r="E144" s="830"/>
      <c r="F144" s="830"/>
      <c r="G144" s="830"/>
      <c r="H144" s="830"/>
      <c r="I144" s="830"/>
      <c r="J144" s="830"/>
      <c r="K144" s="830"/>
      <c r="L144" s="830"/>
      <c r="M144" s="830"/>
      <c r="N144" s="830"/>
    </row>
    <row r="145" spans="1:14" x14ac:dyDescent="0.3">
      <c r="A145" s="830"/>
      <c r="B145" s="830"/>
      <c r="C145" s="830"/>
      <c r="D145" s="830"/>
      <c r="E145" s="830"/>
      <c r="F145" s="830"/>
      <c r="G145" s="830"/>
      <c r="H145" s="830"/>
      <c r="I145" s="830"/>
      <c r="J145" s="830"/>
      <c r="K145" s="830"/>
      <c r="L145" s="830"/>
      <c r="M145" s="830"/>
      <c r="N145" s="830"/>
    </row>
    <row r="146" spans="1:14" x14ac:dyDescent="0.3">
      <c r="A146" s="830"/>
      <c r="B146" s="830"/>
      <c r="C146" s="830"/>
      <c r="D146" s="830"/>
      <c r="E146" s="830"/>
      <c r="F146" s="830"/>
      <c r="G146" s="830"/>
      <c r="H146" s="830"/>
      <c r="I146" s="830"/>
      <c r="J146" s="830"/>
      <c r="K146" s="830"/>
      <c r="L146" s="830"/>
      <c r="M146" s="830"/>
      <c r="N146" s="830"/>
    </row>
    <row r="147" spans="1:14" x14ac:dyDescent="0.3">
      <c r="A147" s="830"/>
      <c r="B147" s="830"/>
      <c r="C147" s="830"/>
      <c r="D147" s="830"/>
      <c r="E147" s="830"/>
      <c r="F147" s="830"/>
      <c r="G147" s="830"/>
      <c r="H147" s="830"/>
      <c r="I147" s="830"/>
      <c r="J147" s="830"/>
      <c r="K147" s="830"/>
      <c r="L147" s="830"/>
      <c r="M147" s="830"/>
      <c r="N147" s="830"/>
    </row>
    <row r="148" spans="1:14" x14ac:dyDescent="0.3">
      <c r="A148" s="830"/>
      <c r="B148" s="830"/>
      <c r="C148" s="830"/>
      <c r="D148" s="830"/>
      <c r="E148" s="830"/>
      <c r="F148" s="830"/>
      <c r="G148" s="830"/>
      <c r="H148" s="830"/>
      <c r="I148" s="830"/>
      <c r="J148" s="830"/>
      <c r="K148" s="830"/>
      <c r="L148" s="830"/>
      <c r="M148" s="830"/>
      <c r="N148" s="830"/>
    </row>
    <row r="149" spans="1:14" x14ac:dyDescent="0.3">
      <c r="A149" s="830"/>
      <c r="B149" s="830"/>
      <c r="C149" s="830"/>
      <c r="D149" s="830"/>
      <c r="E149" s="830"/>
      <c r="F149" s="830"/>
      <c r="G149" s="830"/>
      <c r="H149" s="830"/>
      <c r="I149" s="830"/>
      <c r="J149" s="830"/>
      <c r="K149" s="830"/>
      <c r="L149" s="830"/>
      <c r="M149" s="830"/>
      <c r="N149" s="830"/>
    </row>
    <row r="150" spans="1:14" x14ac:dyDescent="0.3">
      <c r="A150" s="830"/>
      <c r="B150" s="830"/>
      <c r="C150" s="830"/>
      <c r="D150" s="830"/>
      <c r="E150" s="830"/>
      <c r="F150" s="830"/>
      <c r="G150" s="830"/>
      <c r="H150" s="830"/>
      <c r="I150" s="830"/>
      <c r="J150" s="830"/>
      <c r="K150" s="830"/>
      <c r="L150" s="830"/>
      <c r="M150" s="830"/>
      <c r="N150" s="830"/>
    </row>
    <row r="151" spans="1:14" x14ac:dyDescent="0.3">
      <c r="A151" s="830"/>
      <c r="B151" s="830"/>
      <c r="C151" s="830"/>
      <c r="D151" s="830"/>
      <c r="E151" s="830"/>
      <c r="F151" s="830"/>
      <c r="G151" s="830"/>
      <c r="H151" s="830"/>
      <c r="I151" s="830"/>
      <c r="J151" s="830"/>
      <c r="K151" s="830"/>
      <c r="L151" s="830"/>
      <c r="M151" s="830"/>
      <c r="N151" s="830"/>
    </row>
    <row r="152" spans="1:14" x14ac:dyDescent="0.3">
      <c r="A152" s="830"/>
      <c r="B152" s="830"/>
      <c r="C152" s="830"/>
      <c r="D152" s="830"/>
      <c r="E152" s="830"/>
      <c r="F152" s="830"/>
      <c r="G152" s="830"/>
      <c r="H152" s="830"/>
      <c r="I152" s="830"/>
      <c r="J152" s="830"/>
      <c r="K152" s="830"/>
      <c r="L152" s="830"/>
      <c r="M152" s="830"/>
      <c r="N152" s="830"/>
    </row>
    <row r="153" spans="1:14" x14ac:dyDescent="0.3">
      <c r="A153" s="830"/>
      <c r="B153" s="830"/>
      <c r="C153" s="830"/>
      <c r="D153" s="830"/>
      <c r="E153" s="830"/>
      <c r="F153" s="830"/>
      <c r="G153" s="830"/>
      <c r="H153" s="830"/>
      <c r="I153" s="830"/>
      <c r="J153" s="830"/>
      <c r="K153" s="830"/>
      <c r="L153" s="830"/>
      <c r="M153" s="830"/>
      <c r="N153" s="830"/>
    </row>
    <row r="154" spans="1:14" x14ac:dyDescent="0.3">
      <c r="A154" s="830"/>
      <c r="B154" s="830"/>
      <c r="C154" s="830"/>
      <c r="D154" s="830"/>
      <c r="E154" s="830"/>
      <c r="F154" s="830"/>
      <c r="G154" s="830"/>
      <c r="H154" s="830"/>
      <c r="I154" s="830"/>
      <c r="J154" s="830"/>
      <c r="K154" s="830"/>
      <c r="L154" s="830"/>
      <c r="M154" s="830"/>
      <c r="N154" s="830"/>
    </row>
    <row r="155" spans="1:14" x14ac:dyDescent="0.3">
      <c r="A155" s="830"/>
      <c r="B155" s="830"/>
      <c r="C155" s="830"/>
      <c r="D155" s="830"/>
      <c r="E155" s="830"/>
      <c r="F155" s="830"/>
      <c r="G155" s="830"/>
      <c r="H155" s="830"/>
      <c r="I155" s="830"/>
      <c r="J155" s="830"/>
      <c r="K155" s="830"/>
      <c r="L155" s="830"/>
      <c r="M155" s="830"/>
      <c r="N155" s="830"/>
    </row>
    <row r="156" spans="1:14" x14ac:dyDescent="0.3">
      <c r="A156" s="830"/>
      <c r="B156" s="830"/>
      <c r="C156" s="830"/>
      <c r="D156" s="830"/>
      <c r="E156" s="830"/>
      <c r="F156" s="830"/>
      <c r="G156" s="830"/>
      <c r="H156" s="830"/>
      <c r="I156" s="830"/>
      <c r="J156" s="830"/>
      <c r="K156" s="830"/>
      <c r="L156" s="830"/>
      <c r="M156" s="830"/>
      <c r="N156" s="830"/>
    </row>
    <row r="157" spans="1:14" x14ac:dyDescent="0.3">
      <c r="A157" s="830"/>
      <c r="B157" s="830"/>
      <c r="C157" s="830"/>
      <c r="D157" s="830"/>
      <c r="E157" s="830"/>
      <c r="F157" s="830"/>
      <c r="G157" s="830"/>
      <c r="H157" s="830"/>
      <c r="I157" s="830"/>
      <c r="J157" s="830"/>
      <c r="K157" s="830"/>
      <c r="L157" s="830"/>
      <c r="M157" s="830"/>
      <c r="N157" s="830"/>
    </row>
    <row r="158" spans="1:14" x14ac:dyDescent="0.3">
      <c r="A158" s="830"/>
      <c r="B158" s="830"/>
      <c r="C158" s="830"/>
      <c r="D158" s="830"/>
      <c r="E158" s="830"/>
      <c r="F158" s="830"/>
      <c r="G158" s="830"/>
      <c r="H158" s="830"/>
      <c r="I158" s="830"/>
      <c r="J158" s="830"/>
      <c r="K158" s="830"/>
      <c r="L158" s="830"/>
      <c r="M158" s="830"/>
      <c r="N158" s="830"/>
    </row>
    <row r="159" spans="1:14" x14ac:dyDescent="0.3">
      <c r="A159" s="830"/>
      <c r="B159" s="830"/>
      <c r="C159" s="830"/>
      <c r="D159" s="830"/>
      <c r="E159" s="830"/>
      <c r="F159" s="830"/>
      <c r="G159" s="830"/>
      <c r="H159" s="830"/>
      <c r="I159" s="830"/>
      <c r="J159" s="830"/>
      <c r="K159" s="830"/>
      <c r="L159" s="830"/>
      <c r="M159" s="830"/>
      <c r="N159" s="830"/>
    </row>
    <row r="160" spans="1:14" x14ac:dyDescent="0.3">
      <c r="A160" s="830"/>
      <c r="B160" s="830"/>
      <c r="C160" s="830"/>
      <c r="D160" s="830"/>
      <c r="E160" s="830"/>
      <c r="F160" s="830"/>
      <c r="G160" s="830"/>
      <c r="H160" s="830"/>
      <c r="I160" s="830"/>
      <c r="J160" s="830"/>
      <c r="K160" s="830"/>
      <c r="L160" s="830"/>
      <c r="M160" s="830"/>
      <c r="N160" s="830"/>
    </row>
    <row r="161" spans="1:14" x14ac:dyDescent="0.3">
      <c r="A161" s="830"/>
      <c r="B161" s="830"/>
      <c r="C161" s="830"/>
      <c r="D161" s="830"/>
      <c r="E161" s="830"/>
      <c r="F161" s="830"/>
      <c r="G161" s="830"/>
      <c r="H161" s="830"/>
      <c r="I161" s="830"/>
      <c r="J161" s="830"/>
      <c r="K161" s="830"/>
      <c r="L161" s="830"/>
      <c r="M161" s="830"/>
      <c r="N161" s="830"/>
    </row>
    <row r="162" spans="1:14" x14ac:dyDescent="0.3">
      <c r="A162" s="830"/>
      <c r="B162" s="830"/>
      <c r="C162" s="830"/>
      <c r="D162" s="830"/>
      <c r="E162" s="830"/>
      <c r="F162" s="830"/>
      <c r="G162" s="830"/>
      <c r="H162" s="830"/>
      <c r="I162" s="830"/>
      <c r="J162" s="830"/>
      <c r="K162" s="830"/>
      <c r="L162" s="830"/>
      <c r="M162" s="830"/>
      <c r="N162" s="830"/>
    </row>
    <row r="163" spans="1:14" x14ac:dyDescent="0.3">
      <c r="A163" s="830"/>
      <c r="B163" s="830"/>
      <c r="C163" s="830"/>
      <c r="D163" s="830"/>
      <c r="E163" s="830"/>
      <c r="F163" s="830"/>
      <c r="G163" s="830"/>
      <c r="H163" s="830"/>
      <c r="I163" s="830"/>
      <c r="J163" s="830"/>
      <c r="K163" s="830"/>
      <c r="L163" s="830"/>
      <c r="M163" s="830"/>
      <c r="N163" s="830"/>
    </row>
    <row r="164" spans="1:14" x14ac:dyDescent="0.3">
      <c r="A164" s="830"/>
      <c r="B164" s="830"/>
      <c r="C164" s="830"/>
      <c r="D164" s="830"/>
      <c r="E164" s="830"/>
      <c r="F164" s="830"/>
      <c r="G164" s="830"/>
      <c r="H164" s="830"/>
      <c r="I164" s="830"/>
      <c r="J164" s="830"/>
      <c r="K164" s="830"/>
      <c r="L164" s="830"/>
      <c r="M164" s="830"/>
      <c r="N164" s="830"/>
    </row>
    <row r="165" spans="1:14" x14ac:dyDescent="0.3">
      <c r="A165" s="830"/>
      <c r="B165" s="830"/>
      <c r="C165" s="830"/>
      <c r="D165" s="830"/>
      <c r="E165" s="830"/>
      <c r="F165" s="830"/>
      <c r="G165" s="830"/>
      <c r="H165" s="830"/>
      <c r="I165" s="830"/>
      <c r="J165" s="830"/>
      <c r="K165" s="830"/>
      <c r="L165" s="830"/>
      <c r="M165" s="830"/>
      <c r="N165" s="830"/>
    </row>
    <row r="166" spans="1:14" x14ac:dyDescent="0.3">
      <c r="A166" s="830"/>
      <c r="B166" s="830"/>
      <c r="C166" s="830"/>
      <c r="D166" s="830"/>
      <c r="E166" s="830"/>
      <c r="F166" s="830"/>
      <c r="G166" s="830"/>
      <c r="H166" s="830"/>
      <c r="I166" s="830"/>
      <c r="J166" s="830"/>
      <c r="K166" s="830"/>
      <c r="L166" s="830"/>
      <c r="M166" s="830"/>
      <c r="N166" s="830"/>
    </row>
    <row r="167" spans="1:14" x14ac:dyDescent="0.3">
      <c r="A167" s="830"/>
      <c r="B167" s="830"/>
      <c r="C167" s="830"/>
      <c r="D167" s="830"/>
      <c r="E167" s="830"/>
      <c r="F167" s="830"/>
      <c r="G167" s="830"/>
      <c r="H167" s="830"/>
      <c r="I167" s="830"/>
      <c r="J167" s="830"/>
      <c r="K167" s="830"/>
      <c r="L167" s="830"/>
      <c r="M167" s="830"/>
      <c r="N167" s="830"/>
    </row>
    <row r="168" spans="1:14" x14ac:dyDescent="0.3">
      <c r="A168" s="830"/>
      <c r="B168" s="830"/>
      <c r="C168" s="830"/>
      <c r="D168" s="830"/>
      <c r="E168" s="830"/>
      <c r="F168" s="830"/>
      <c r="G168" s="830"/>
      <c r="H168" s="830"/>
      <c r="I168" s="830"/>
      <c r="J168" s="830"/>
      <c r="K168" s="830"/>
      <c r="L168" s="830"/>
      <c r="M168" s="830"/>
      <c r="N168" s="830"/>
    </row>
    <row r="169" spans="1:14" x14ac:dyDescent="0.3">
      <c r="A169" s="830"/>
      <c r="B169" s="830"/>
      <c r="C169" s="830"/>
      <c r="D169" s="830"/>
      <c r="E169" s="830"/>
      <c r="F169" s="830"/>
      <c r="G169" s="830"/>
      <c r="H169" s="830"/>
      <c r="I169" s="830"/>
      <c r="J169" s="830"/>
      <c r="K169" s="830"/>
      <c r="L169" s="830"/>
      <c r="M169" s="830"/>
      <c r="N169" s="830"/>
    </row>
    <row r="170" spans="1:14" x14ac:dyDescent="0.3">
      <c r="A170" s="830"/>
      <c r="B170" s="830"/>
      <c r="C170" s="830"/>
      <c r="D170" s="830"/>
      <c r="E170" s="830"/>
      <c r="F170" s="830"/>
      <c r="G170" s="830"/>
      <c r="H170" s="830"/>
      <c r="I170" s="830"/>
      <c r="J170" s="830"/>
      <c r="K170" s="830"/>
      <c r="L170" s="830"/>
      <c r="M170" s="830"/>
      <c r="N170" s="830"/>
    </row>
    <row r="171" spans="1:14" x14ac:dyDescent="0.3">
      <c r="A171" s="830"/>
      <c r="B171" s="830"/>
      <c r="C171" s="830"/>
      <c r="D171" s="830"/>
      <c r="E171" s="830"/>
      <c r="F171" s="830"/>
      <c r="G171" s="830"/>
      <c r="H171" s="830"/>
      <c r="I171" s="830"/>
      <c r="J171" s="830"/>
      <c r="K171" s="830"/>
      <c r="L171" s="830"/>
      <c r="M171" s="830"/>
      <c r="N171" s="830"/>
    </row>
    <row r="172" spans="1:14" x14ac:dyDescent="0.3">
      <c r="A172" s="830"/>
      <c r="B172" s="830"/>
      <c r="C172" s="830"/>
      <c r="D172" s="830"/>
      <c r="E172" s="830"/>
      <c r="F172" s="830"/>
      <c r="G172" s="830"/>
      <c r="H172" s="830"/>
      <c r="I172" s="830"/>
      <c r="J172" s="830"/>
      <c r="K172" s="830"/>
      <c r="L172" s="830"/>
      <c r="M172" s="830"/>
      <c r="N172" s="830"/>
    </row>
    <row r="173" spans="1:14" x14ac:dyDescent="0.3">
      <c r="A173" s="830"/>
      <c r="B173" s="830"/>
      <c r="C173" s="830"/>
      <c r="D173" s="830"/>
      <c r="E173" s="830"/>
      <c r="F173" s="830"/>
      <c r="G173" s="830"/>
      <c r="H173" s="830"/>
      <c r="I173" s="830"/>
      <c r="J173" s="830"/>
      <c r="K173" s="830"/>
      <c r="L173" s="830"/>
      <c r="M173" s="830"/>
      <c r="N173" s="830"/>
    </row>
    <row r="174" spans="1:14" x14ac:dyDescent="0.3">
      <c r="A174" s="830"/>
      <c r="B174" s="830"/>
      <c r="C174" s="830"/>
      <c r="D174" s="830"/>
      <c r="E174" s="830"/>
      <c r="F174" s="830"/>
      <c r="G174" s="830"/>
      <c r="H174" s="830"/>
      <c r="I174" s="830"/>
      <c r="J174" s="830"/>
      <c r="K174" s="830"/>
      <c r="L174" s="830"/>
      <c r="M174" s="830"/>
      <c r="N174" s="830"/>
    </row>
    <row r="175" spans="1:14" x14ac:dyDescent="0.3">
      <c r="A175" s="830"/>
      <c r="B175" s="830"/>
      <c r="C175" s="830"/>
      <c r="D175" s="830"/>
      <c r="E175" s="830"/>
      <c r="F175" s="830"/>
      <c r="G175" s="830"/>
      <c r="H175" s="830"/>
      <c r="I175" s="830"/>
      <c r="J175" s="830"/>
      <c r="K175" s="830"/>
      <c r="L175" s="830"/>
      <c r="M175" s="830"/>
      <c r="N175" s="830"/>
    </row>
    <row r="176" spans="1:14" x14ac:dyDescent="0.3">
      <c r="A176" s="830"/>
      <c r="B176" s="830"/>
      <c r="C176" s="830"/>
      <c r="D176" s="830"/>
      <c r="E176" s="830"/>
      <c r="F176" s="830"/>
      <c r="G176" s="830"/>
      <c r="H176" s="830"/>
      <c r="I176" s="830"/>
      <c r="J176" s="830"/>
      <c r="K176" s="830"/>
      <c r="L176" s="830"/>
      <c r="M176" s="830"/>
      <c r="N176" s="830"/>
    </row>
    <row r="177" spans="1:14" x14ac:dyDescent="0.3">
      <c r="A177" s="830"/>
      <c r="B177" s="830"/>
      <c r="C177" s="830"/>
      <c r="D177" s="830"/>
      <c r="E177" s="830"/>
      <c r="F177" s="830"/>
      <c r="G177" s="830"/>
      <c r="H177" s="830"/>
      <c r="I177" s="830"/>
      <c r="J177" s="830"/>
      <c r="K177" s="830"/>
      <c r="L177" s="830"/>
      <c r="M177" s="830"/>
      <c r="N177" s="830"/>
    </row>
    <row r="178" spans="1:14" x14ac:dyDescent="0.3">
      <c r="A178" s="830"/>
      <c r="B178" s="830"/>
      <c r="C178" s="830"/>
      <c r="D178" s="830"/>
      <c r="E178" s="830"/>
      <c r="F178" s="830"/>
      <c r="G178" s="830"/>
      <c r="H178" s="830"/>
      <c r="I178" s="830"/>
      <c r="J178" s="830"/>
      <c r="K178" s="830"/>
      <c r="L178" s="830"/>
      <c r="M178" s="830"/>
      <c r="N178" s="830"/>
    </row>
    <row r="179" spans="1:14" x14ac:dyDescent="0.3">
      <c r="A179" s="830"/>
      <c r="B179" s="830"/>
      <c r="C179" s="830"/>
      <c r="D179" s="830"/>
      <c r="E179" s="830"/>
      <c r="F179" s="830"/>
      <c r="G179" s="830"/>
      <c r="H179" s="830"/>
      <c r="I179" s="830"/>
      <c r="J179" s="830"/>
      <c r="K179" s="830"/>
      <c r="L179" s="830"/>
      <c r="M179" s="830"/>
      <c r="N179" s="830"/>
    </row>
    <row r="180" spans="1:14" x14ac:dyDescent="0.3">
      <c r="A180" s="830"/>
      <c r="B180" s="830"/>
      <c r="C180" s="830"/>
      <c r="D180" s="830"/>
      <c r="E180" s="830"/>
      <c r="F180" s="830"/>
      <c r="G180" s="830"/>
      <c r="H180" s="830"/>
      <c r="I180" s="830"/>
      <c r="J180" s="830"/>
      <c r="K180" s="830"/>
      <c r="L180" s="830"/>
      <c r="M180" s="830"/>
      <c r="N180" s="830"/>
    </row>
    <row r="181" spans="1:14" x14ac:dyDescent="0.3">
      <c r="A181" s="830"/>
      <c r="B181" s="830"/>
      <c r="C181" s="830"/>
      <c r="D181" s="830"/>
      <c r="E181" s="830"/>
      <c r="F181" s="830"/>
      <c r="G181" s="830"/>
      <c r="H181" s="830"/>
      <c r="I181" s="830"/>
      <c r="J181" s="830"/>
      <c r="K181" s="830"/>
      <c r="L181" s="830"/>
      <c r="M181" s="830"/>
      <c r="N181" s="830"/>
    </row>
    <row r="182" spans="1:14" x14ac:dyDescent="0.3">
      <c r="A182" s="830"/>
      <c r="B182" s="830"/>
      <c r="C182" s="830"/>
      <c r="D182" s="830"/>
      <c r="E182" s="830"/>
      <c r="F182" s="830"/>
      <c r="G182" s="830"/>
      <c r="H182" s="830"/>
      <c r="I182" s="830"/>
      <c r="J182" s="830"/>
      <c r="K182" s="830"/>
      <c r="L182" s="830"/>
      <c r="M182" s="830"/>
      <c r="N182" s="830"/>
    </row>
    <row r="183" spans="1:14" x14ac:dyDescent="0.3">
      <c r="A183" s="830"/>
      <c r="B183" s="830"/>
      <c r="C183" s="830"/>
      <c r="D183" s="830"/>
      <c r="E183" s="830"/>
      <c r="F183" s="830"/>
      <c r="G183" s="830"/>
      <c r="H183" s="830"/>
      <c r="I183" s="830"/>
      <c r="J183" s="830"/>
      <c r="K183" s="830"/>
      <c r="L183" s="830"/>
      <c r="M183" s="830"/>
      <c r="N183" s="830"/>
    </row>
    <row r="184" spans="1:14" x14ac:dyDescent="0.3">
      <c r="A184" s="830"/>
      <c r="B184" s="830"/>
      <c r="C184" s="830"/>
      <c r="D184" s="830"/>
      <c r="E184" s="830"/>
      <c r="F184" s="830"/>
      <c r="G184" s="830"/>
      <c r="H184" s="830"/>
      <c r="I184" s="830"/>
      <c r="J184" s="830"/>
      <c r="K184" s="830"/>
      <c r="L184" s="830"/>
      <c r="M184" s="830"/>
      <c r="N184" s="830"/>
    </row>
    <row r="185" spans="1:14" x14ac:dyDescent="0.3">
      <c r="A185" s="830"/>
      <c r="B185" s="830"/>
      <c r="C185" s="830"/>
      <c r="D185" s="830"/>
      <c r="E185" s="830"/>
      <c r="F185" s="830"/>
      <c r="G185" s="830"/>
      <c r="H185" s="830"/>
      <c r="I185" s="830"/>
      <c r="J185" s="830"/>
      <c r="K185" s="830"/>
      <c r="L185" s="830"/>
      <c r="M185" s="830"/>
      <c r="N185" s="830"/>
    </row>
    <row r="186" spans="1:14" x14ac:dyDescent="0.3">
      <c r="A186" s="830"/>
      <c r="B186" s="830"/>
      <c r="C186" s="830"/>
      <c r="D186" s="830"/>
      <c r="E186" s="830"/>
      <c r="F186" s="830"/>
      <c r="G186" s="830"/>
      <c r="H186" s="830"/>
      <c r="I186" s="830"/>
      <c r="J186" s="830"/>
      <c r="K186" s="830"/>
      <c r="L186" s="830"/>
      <c r="M186" s="830"/>
      <c r="N186" s="830"/>
    </row>
    <row r="187" spans="1:14" x14ac:dyDescent="0.3">
      <c r="A187" s="830"/>
      <c r="B187" s="830"/>
      <c r="C187" s="830"/>
      <c r="D187" s="830"/>
      <c r="E187" s="830"/>
      <c r="F187" s="830"/>
      <c r="G187" s="830"/>
      <c r="H187" s="830"/>
      <c r="I187" s="830"/>
      <c r="J187" s="830"/>
      <c r="K187" s="830"/>
      <c r="L187" s="830"/>
      <c r="M187" s="830"/>
      <c r="N187" s="830"/>
    </row>
    <row r="188" spans="1:14" x14ac:dyDescent="0.3">
      <c r="A188" s="830"/>
      <c r="B188" s="830"/>
      <c r="C188" s="830"/>
      <c r="D188" s="830"/>
      <c r="E188" s="830"/>
      <c r="F188" s="830"/>
      <c r="G188" s="830"/>
      <c r="H188" s="830"/>
      <c r="I188" s="830"/>
      <c r="J188" s="830"/>
      <c r="K188" s="830"/>
      <c r="L188" s="830"/>
      <c r="M188" s="830"/>
      <c r="N188" s="830"/>
    </row>
    <row r="189" spans="1:14" x14ac:dyDescent="0.3">
      <c r="A189" s="830"/>
      <c r="B189" s="830"/>
      <c r="C189" s="830"/>
      <c r="D189" s="830"/>
      <c r="E189" s="830"/>
      <c r="F189" s="830"/>
      <c r="G189" s="830"/>
      <c r="H189" s="830"/>
      <c r="I189" s="830"/>
      <c r="J189" s="830"/>
      <c r="K189" s="830"/>
      <c r="L189" s="830"/>
      <c r="M189" s="830"/>
      <c r="N189" s="830"/>
    </row>
    <row r="190" spans="1:14" x14ac:dyDescent="0.3">
      <c r="A190" s="830"/>
      <c r="B190" s="830"/>
      <c r="C190" s="830"/>
      <c r="D190" s="830"/>
      <c r="E190" s="830"/>
      <c r="F190" s="830"/>
      <c r="G190" s="830"/>
      <c r="H190" s="830"/>
      <c r="I190" s="830"/>
      <c r="J190" s="830"/>
      <c r="K190" s="830"/>
      <c r="L190" s="830"/>
      <c r="M190" s="830"/>
      <c r="N190" s="830"/>
    </row>
    <row r="191" spans="1:14" x14ac:dyDescent="0.3">
      <c r="A191" s="830"/>
      <c r="B191" s="830"/>
      <c r="C191" s="830"/>
      <c r="D191" s="830"/>
      <c r="E191" s="830"/>
      <c r="F191" s="830"/>
      <c r="G191" s="830"/>
      <c r="H191" s="830"/>
      <c r="I191" s="830"/>
      <c r="J191" s="830"/>
      <c r="K191" s="830"/>
      <c r="L191" s="830"/>
      <c r="M191" s="830"/>
      <c r="N191" s="830"/>
    </row>
    <row r="192" spans="1:14" x14ac:dyDescent="0.3">
      <c r="A192" s="830"/>
      <c r="B192" s="830"/>
      <c r="C192" s="830"/>
      <c r="D192" s="830"/>
      <c r="E192" s="830"/>
      <c r="F192" s="830"/>
      <c r="G192" s="830"/>
      <c r="H192" s="830"/>
      <c r="I192" s="830"/>
      <c r="J192" s="830"/>
      <c r="K192" s="830"/>
      <c r="L192" s="830"/>
      <c r="M192" s="830"/>
      <c r="N192" s="830"/>
    </row>
    <row r="193" spans="1:14" x14ac:dyDescent="0.3">
      <c r="A193" s="830"/>
      <c r="B193" s="830"/>
      <c r="C193" s="830"/>
      <c r="D193" s="830"/>
      <c r="E193" s="830"/>
      <c r="F193" s="830"/>
      <c r="G193" s="830"/>
      <c r="H193" s="830"/>
      <c r="I193" s="830"/>
      <c r="J193" s="830"/>
      <c r="K193" s="830"/>
      <c r="L193" s="830"/>
      <c r="M193" s="830"/>
      <c r="N193" s="830"/>
    </row>
    <row r="194" spans="1:14" x14ac:dyDescent="0.3">
      <c r="A194" s="830"/>
      <c r="B194" s="830"/>
      <c r="C194" s="830"/>
      <c r="D194" s="830"/>
      <c r="E194" s="830"/>
      <c r="F194" s="830"/>
      <c r="G194" s="830"/>
      <c r="H194" s="830"/>
      <c r="I194" s="830"/>
      <c r="J194" s="830"/>
      <c r="K194" s="830"/>
      <c r="L194" s="830"/>
      <c r="M194" s="830"/>
      <c r="N194" s="830"/>
    </row>
    <row r="195" spans="1:14" x14ac:dyDescent="0.3">
      <c r="A195" s="830"/>
      <c r="B195" s="830"/>
      <c r="C195" s="830"/>
      <c r="D195" s="830"/>
      <c r="E195" s="830"/>
      <c r="F195" s="830"/>
      <c r="G195" s="830"/>
      <c r="H195" s="830"/>
      <c r="I195" s="830"/>
      <c r="J195" s="830"/>
      <c r="K195" s="830"/>
      <c r="L195" s="830"/>
      <c r="M195" s="830"/>
      <c r="N195" s="830"/>
    </row>
    <row r="196" spans="1:14" x14ac:dyDescent="0.3">
      <c r="A196" s="830"/>
      <c r="B196" s="830"/>
      <c r="C196" s="830"/>
      <c r="D196" s="830"/>
      <c r="E196" s="830"/>
      <c r="F196" s="830"/>
      <c r="G196" s="830"/>
      <c r="H196" s="830"/>
      <c r="I196" s="830"/>
      <c r="J196" s="830"/>
      <c r="K196" s="830"/>
      <c r="L196" s="830"/>
      <c r="M196" s="830"/>
      <c r="N196" s="830"/>
    </row>
    <row r="197" spans="1:14" x14ac:dyDescent="0.3">
      <c r="A197" s="830"/>
      <c r="B197" s="830"/>
      <c r="C197" s="830"/>
      <c r="D197" s="830"/>
      <c r="E197" s="830"/>
      <c r="F197" s="830"/>
      <c r="G197" s="830"/>
      <c r="H197" s="830"/>
      <c r="I197" s="830"/>
      <c r="J197" s="830"/>
      <c r="K197" s="830"/>
      <c r="L197" s="830"/>
      <c r="M197" s="830"/>
      <c r="N197" s="830"/>
    </row>
    <row r="198" spans="1:14" x14ac:dyDescent="0.3">
      <c r="A198" s="830"/>
      <c r="B198" s="830"/>
      <c r="C198" s="830"/>
      <c r="D198" s="830"/>
      <c r="E198" s="830"/>
      <c r="F198" s="830"/>
      <c r="G198" s="830"/>
      <c r="H198" s="830"/>
      <c r="I198" s="830"/>
      <c r="J198" s="830"/>
      <c r="K198" s="830"/>
      <c r="L198" s="830"/>
      <c r="M198" s="830"/>
      <c r="N198" s="830"/>
    </row>
    <row r="199" spans="1:14" x14ac:dyDescent="0.3">
      <c r="A199" s="830"/>
      <c r="B199" s="830"/>
      <c r="C199" s="830"/>
      <c r="D199" s="830"/>
      <c r="E199" s="830"/>
      <c r="F199" s="830"/>
      <c r="G199" s="830"/>
      <c r="H199" s="830"/>
      <c r="I199" s="830"/>
      <c r="J199" s="830"/>
      <c r="K199" s="830"/>
      <c r="L199" s="830"/>
      <c r="M199" s="830"/>
      <c r="N199" s="830"/>
    </row>
    <row r="200" spans="1:14" x14ac:dyDescent="0.3">
      <c r="A200" s="830"/>
      <c r="B200" s="830"/>
      <c r="C200" s="830"/>
      <c r="D200" s="830"/>
      <c r="E200" s="830"/>
      <c r="F200" s="830"/>
      <c r="G200" s="830"/>
      <c r="H200" s="830"/>
      <c r="I200" s="830"/>
      <c r="J200" s="830"/>
      <c r="K200" s="830"/>
      <c r="L200" s="830"/>
      <c r="M200" s="830"/>
      <c r="N200" s="830"/>
    </row>
    <row r="201" spans="1:14" x14ac:dyDescent="0.3">
      <c r="A201" s="830"/>
      <c r="B201" s="830"/>
      <c r="C201" s="830"/>
      <c r="D201" s="830"/>
      <c r="E201" s="830"/>
      <c r="F201" s="830"/>
      <c r="G201" s="830"/>
      <c r="H201" s="830"/>
      <c r="I201" s="830"/>
      <c r="J201" s="830"/>
      <c r="K201" s="830"/>
      <c r="L201" s="830"/>
      <c r="M201" s="830"/>
      <c r="N201" s="830"/>
    </row>
    <row r="202" spans="1:14" x14ac:dyDescent="0.3">
      <c r="A202" s="830"/>
      <c r="B202" s="830"/>
      <c r="C202" s="830"/>
      <c r="D202" s="830"/>
      <c r="E202" s="830"/>
      <c r="F202" s="830"/>
      <c r="G202" s="830"/>
      <c r="H202" s="830"/>
      <c r="I202" s="830"/>
      <c r="J202" s="830"/>
      <c r="K202" s="830"/>
      <c r="L202" s="830"/>
      <c r="M202" s="830"/>
      <c r="N202" s="830"/>
    </row>
    <row r="203" spans="1:14" x14ac:dyDescent="0.3">
      <c r="A203" s="830"/>
      <c r="B203" s="830"/>
      <c r="C203" s="830"/>
      <c r="D203" s="830"/>
      <c r="E203" s="830"/>
      <c r="F203" s="830"/>
      <c r="G203" s="830"/>
      <c r="H203" s="830"/>
      <c r="I203" s="830"/>
      <c r="J203" s="830"/>
      <c r="K203" s="830"/>
      <c r="L203" s="830"/>
      <c r="M203" s="830"/>
      <c r="N203" s="830"/>
    </row>
    <row r="204" spans="1:14" x14ac:dyDescent="0.3">
      <c r="A204" s="830"/>
      <c r="B204" s="830"/>
      <c r="C204" s="830"/>
      <c r="D204" s="830"/>
      <c r="E204" s="830"/>
      <c r="F204" s="830"/>
      <c r="G204" s="830"/>
      <c r="H204" s="830"/>
      <c r="I204" s="830"/>
      <c r="J204" s="830"/>
      <c r="K204" s="830"/>
      <c r="L204" s="830"/>
      <c r="M204" s="830"/>
      <c r="N204" s="830"/>
    </row>
    <row r="205" spans="1:14" x14ac:dyDescent="0.3">
      <c r="A205" s="830"/>
      <c r="B205" s="830"/>
      <c r="C205" s="830"/>
      <c r="D205" s="830"/>
      <c r="E205" s="830"/>
      <c r="F205" s="830"/>
      <c r="G205" s="830"/>
      <c r="H205" s="830"/>
      <c r="I205" s="830"/>
      <c r="J205" s="830"/>
      <c r="K205" s="830"/>
      <c r="L205" s="830"/>
      <c r="M205" s="830"/>
      <c r="N205" s="830"/>
    </row>
    <row r="206" spans="1:14" x14ac:dyDescent="0.3">
      <c r="A206" s="830"/>
      <c r="B206" s="830"/>
      <c r="C206" s="830"/>
      <c r="D206" s="830"/>
      <c r="E206" s="830"/>
      <c r="F206" s="830"/>
      <c r="G206" s="830"/>
      <c r="H206" s="830"/>
      <c r="I206" s="830"/>
      <c r="J206" s="830"/>
      <c r="K206" s="830"/>
      <c r="L206" s="830"/>
      <c r="M206" s="830"/>
      <c r="N206" s="830"/>
    </row>
    <row r="207" spans="1:14" x14ac:dyDescent="0.3">
      <c r="A207" s="830"/>
      <c r="B207" s="830"/>
      <c r="C207" s="830"/>
      <c r="D207" s="830"/>
      <c r="E207" s="830"/>
      <c r="F207" s="830"/>
      <c r="G207" s="830"/>
      <c r="H207" s="830"/>
      <c r="I207" s="830"/>
      <c r="J207" s="830"/>
      <c r="K207" s="830"/>
      <c r="L207" s="830"/>
      <c r="M207" s="830"/>
      <c r="N207" s="830"/>
    </row>
    <row r="208" spans="1:14" x14ac:dyDescent="0.3">
      <c r="A208" s="830"/>
      <c r="B208" s="830"/>
      <c r="C208" s="830"/>
      <c r="D208" s="830"/>
      <c r="E208" s="830"/>
      <c r="F208" s="830"/>
      <c r="G208" s="830"/>
      <c r="H208" s="830"/>
      <c r="I208" s="830"/>
      <c r="J208" s="830"/>
      <c r="K208" s="830"/>
      <c r="L208" s="830"/>
      <c r="M208" s="830"/>
      <c r="N208" s="830"/>
    </row>
    <row r="209" spans="1:14" x14ac:dyDescent="0.3">
      <c r="A209" s="830"/>
      <c r="B209" s="830"/>
      <c r="C209" s="830"/>
      <c r="D209" s="830"/>
      <c r="E209" s="830"/>
      <c r="F209" s="830"/>
      <c r="G209" s="830"/>
      <c r="H209" s="830"/>
      <c r="I209" s="830"/>
      <c r="J209" s="831"/>
      <c r="K209" s="831"/>
      <c r="L209" s="831"/>
      <c r="M209" s="831"/>
      <c r="N209" s="831"/>
    </row>
    <row r="210" spans="1:14" x14ac:dyDescent="0.3">
      <c r="A210" s="830"/>
      <c r="B210" s="830"/>
      <c r="C210" s="830"/>
      <c r="D210" s="830"/>
      <c r="E210" s="830"/>
      <c r="F210" s="830"/>
      <c r="G210" s="830"/>
      <c r="H210" s="830"/>
      <c r="I210" s="830"/>
    </row>
    <row r="211" spans="1:14" x14ac:dyDescent="0.3">
      <c r="A211" s="830"/>
      <c r="B211" s="830"/>
      <c r="C211" s="830"/>
      <c r="D211" s="830"/>
      <c r="E211" s="830"/>
      <c r="F211" s="830"/>
      <c r="G211" s="830"/>
      <c r="H211" s="830"/>
      <c r="I211" s="830"/>
    </row>
    <row r="212" spans="1:14" x14ac:dyDescent="0.3">
      <c r="A212" s="830"/>
      <c r="B212" s="830"/>
      <c r="C212" s="830"/>
      <c r="D212" s="830"/>
      <c r="E212" s="830"/>
      <c r="F212" s="830"/>
      <c r="G212" s="830"/>
      <c r="H212" s="830"/>
      <c r="I212" s="830"/>
    </row>
    <row r="213" spans="1:14" x14ac:dyDescent="0.3">
      <c r="A213" s="830"/>
      <c r="B213" s="830"/>
      <c r="C213" s="830"/>
      <c r="D213" s="830"/>
      <c r="E213" s="830"/>
      <c r="F213" s="830"/>
      <c r="G213" s="830"/>
      <c r="H213" s="830"/>
      <c r="I213" s="830"/>
    </row>
    <row r="214" spans="1:14" x14ac:dyDescent="0.3">
      <c r="A214" s="830"/>
      <c r="B214" s="830"/>
      <c r="C214" s="830"/>
      <c r="D214" s="830"/>
      <c r="E214" s="830"/>
      <c r="F214" s="830"/>
      <c r="G214" s="830"/>
      <c r="H214" s="830"/>
      <c r="I214" s="830"/>
    </row>
    <row r="215" spans="1:14" x14ac:dyDescent="0.3">
      <c r="A215" s="830"/>
      <c r="B215" s="830"/>
      <c r="C215" s="830"/>
      <c r="D215" s="830"/>
      <c r="E215" s="830"/>
      <c r="F215" s="830"/>
      <c r="G215" s="830"/>
      <c r="H215" s="830"/>
      <c r="I215" s="830"/>
    </row>
    <row r="216" spans="1:14" x14ac:dyDescent="0.3">
      <c r="A216" s="830"/>
      <c r="B216" s="830"/>
      <c r="C216" s="830"/>
      <c r="D216" s="830"/>
      <c r="E216" s="830"/>
      <c r="F216" s="830"/>
      <c r="G216" s="830"/>
      <c r="H216" s="830"/>
      <c r="I216" s="830"/>
    </row>
    <row r="217" spans="1:14" x14ac:dyDescent="0.3">
      <c r="A217" s="830"/>
      <c r="B217" s="830"/>
      <c r="C217" s="830"/>
      <c r="D217" s="830"/>
      <c r="E217" s="830"/>
      <c r="F217" s="830"/>
      <c r="G217" s="830"/>
      <c r="H217" s="830"/>
      <c r="I217" s="830"/>
    </row>
    <row r="218" spans="1:14" x14ac:dyDescent="0.3">
      <c r="A218" s="830"/>
      <c r="B218" s="830"/>
      <c r="C218" s="830"/>
      <c r="D218" s="830"/>
      <c r="E218" s="830"/>
      <c r="F218" s="830"/>
      <c r="G218" s="830"/>
      <c r="H218" s="830"/>
      <c r="I218" s="830"/>
    </row>
    <row r="219" spans="1:14" x14ac:dyDescent="0.3">
      <c r="A219" s="830"/>
      <c r="B219" s="830"/>
      <c r="C219" s="830"/>
      <c r="D219" s="830"/>
      <c r="E219" s="830"/>
      <c r="F219" s="830"/>
      <c r="G219" s="830"/>
      <c r="H219" s="830"/>
      <c r="I219" s="830"/>
    </row>
    <row r="220" spans="1:14" x14ac:dyDescent="0.3">
      <c r="A220" s="830"/>
      <c r="B220" s="830"/>
      <c r="C220" s="830"/>
      <c r="D220" s="830"/>
      <c r="E220" s="830"/>
      <c r="F220" s="830"/>
      <c r="G220" s="830"/>
      <c r="H220" s="830"/>
      <c r="I220" s="830"/>
    </row>
    <row r="221" spans="1:14" x14ac:dyDescent="0.3">
      <c r="A221" s="830"/>
      <c r="B221" s="830"/>
      <c r="C221" s="830"/>
      <c r="D221" s="830"/>
      <c r="E221" s="830"/>
      <c r="F221" s="830"/>
      <c r="G221" s="830"/>
      <c r="H221" s="830"/>
      <c r="I221" s="830"/>
    </row>
    <row r="222" spans="1:14" x14ac:dyDescent="0.3">
      <c r="A222" s="830"/>
      <c r="B222" s="830"/>
      <c r="C222" s="830"/>
      <c r="D222" s="830"/>
      <c r="E222" s="830"/>
      <c r="F222" s="830"/>
      <c r="G222" s="830"/>
      <c r="H222" s="830"/>
      <c r="I222" s="830"/>
    </row>
    <row r="223" spans="1:14" x14ac:dyDescent="0.3">
      <c r="A223" s="830"/>
      <c r="B223" s="830"/>
      <c r="C223" s="830"/>
      <c r="D223" s="830"/>
      <c r="E223" s="830"/>
      <c r="F223" s="830"/>
      <c r="G223" s="830"/>
      <c r="H223" s="830"/>
      <c r="I223" s="830"/>
    </row>
    <row r="224" spans="1:14" x14ac:dyDescent="0.3">
      <c r="A224" s="830"/>
      <c r="B224" s="830"/>
      <c r="C224" s="830"/>
      <c r="D224" s="830"/>
      <c r="E224" s="830"/>
      <c r="F224" s="830"/>
      <c r="G224" s="830"/>
      <c r="H224" s="830"/>
      <c r="I224" s="830"/>
    </row>
    <row r="225" spans="1:9" x14ac:dyDescent="0.3">
      <c r="A225" s="830"/>
      <c r="B225" s="830"/>
      <c r="C225" s="830"/>
      <c r="D225" s="830"/>
      <c r="E225" s="830"/>
      <c r="F225" s="830"/>
      <c r="G225" s="830"/>
      <c r="H225" s="830"/>
      <c r="I225" s="830"/>
    </row>
    <row r="226" spans="1:9" x14ac:dyDescent="0.3">
      <c r="A226" s="830"/>
      <c r="B226" s="830"/>
      <c r="C226" s="830"/>
      <c r="D226" s="830"/>
      <c r="E226" s="830"/>
      <c r="F226" s="830"/>
      <c r="G226" s="830"/>
      <c r="H226" s="830"/>
      <c r="I226" s="830"/>
    </row>
    <row r="227" spans="1:9" x14ac:dyDescent="0.3">
      <c r="A227" s="830"/>
      <c r="B227" s="830"/>
      <c r="C227" s="830"/>
      <c r="D227" s="830"/>
      <c r="E227" s="830"/>
      <c r="F227" s="830"/>
      <c r="G227" s="830"/>
      <c r="H227" s="830"/>
      <c r="I227" s="830"/>
    </row>
    <row r="228" spans="1:9" x14ac:dyDescent="0.3">
      <c r="A228" s="830"/>
      <c r="B228" s="830"/>
      <c r="C228" s="830"/>
      <c r="D228" s="830"/>
      <c r="E228" s="830"/>
      <c r="F228" s="830"/>
      <c r="G228" s="830"/>
      <c r="H228" s="830"/>
      <c r="I228" s="830"/>
    </row>
    <row r="229" spans="1:9" x14ac:dyDescent="0.3">
      <c r="A229" s="830"/>
      <c r="B229" s="830"/>
      <c r="C229" s="830"/>
      <c r="D229" s="830"/>
      <c r="E229" s="830"/>
      <c r="F229" s="830"/>
      <c r="G229" s="830"/>
      <c r="H229" s="830"/>
      <c r="I229" s="830"/>
    </row>
    <row r="230" spans="1:9" x14ac:dyDescent="0.3">
      <c r="A230" s="830"/>
      <c r="B230" s="830"/>
      <c r="C230" s="830"/>
      <c r="D230" s="830"/>
      <c r="E230" s="830"/>
      <c r="F230" s="830"/>
      <c r="G230" s="830"/>
      <c r="H230" s="830"/>
      <c r="I230" s="830"/>
    </row>
    <row r="231" spans="1:9" x14ac:dyDescent="0.3">
      <c r="A231" s="830"/>
      <c r="B231" s="830"/>
      <c r="C231" s="830"/>
      <c r="D231" s="830"/>
      <c r="E231" s="830"/>
      <c r="F231" s="830"/>
      <c r="G231" s="830"/>
      <c r="H231" s="830"/>
      <c r="I231" s="830"/>
    </row>
    <row r="232" spans="1:9" x14ac:dyDescent="0.3">
      <c r="A232" s="830"/>
      <c r="B232" s="830"/>
      <c r="C232" s="830"/>
      <c r="D232" s="830"/>
      <c r="E232" s="830"/>
      <c r="F232" s="830"/>
      <c r="G232" s="830"/>
      <c r="H232" s="830"/>
      <c r="I232" s="830"/>
    </row>
    <row r="233" spans="1:9" x14ac:dyDescent="0.3">
      <c r="A233" s="830"/>
      <c r="B233" s="830"/>
      <c r="C233" s="830"/>
      <c r="D233" s="830"/>
      <c r="E233" s="830"/>
      <c r="F233" s="830"/>
      <c r="G233" s="830"/>
      <c r="H233" s="830"/>
      <c r="I233" s="830"/>
    </row>
    <row r="234" spans="1:9" x14ac:dyDescent="0.3">
      <c r="A234" s="830"/>
      <c r="B234" s="830"/>
      <c r="C234" s="830"/>
      <c r="D234" s="830"/>
      <c r="E234" s="830"/>
      <c r="F234" s="830"/>
      <c r="G234" s="830"/>
      <c r="H234" s="830"/>
      <c r="I234" s="830"/>
    </row>
    <row r="235" spans="1:9" x14ac:dyDescent="0.3">
      <c r="A235" s="830"/>
      <c r="B235" s="830"/>
      <c r="C235" s="830"/>
      <c r="D235" s="830"/>
      <c r="E235" s="830"/>
      <c r="F235" s="830"/>
      <c r="G235" s="830"/>
      <c r="H235" s="830"/>
      <c r="I235" s="830"/>
    </row>
    <row r="236" spans="1:9" x14ac:dyDescent="0.3">
      <c r="A236" s="830"/>
      <c r="B236" s="830"/>
      <c r="C236" s="830"/>
      <c r="D236" s="830"/>
      <c r="E236" s="830"/>
      <c r="F236" s="830"/>
      <c r="G236" s="830"/>
      <c r="H236" s="830"/>
      <c r="I236" s="830"/>
    </row>
    <row r="237" spans="1:9" x14ac:dyDescent="0.3">
      <c r="A237" s="830"/>
      <c r="B237" s="830"/>
      <c r="C237" s="830"/>
      <c r="D237" s="830"/>
      <c r="E237" s="830"/>
      <c r="F237" s="830"/>
      <c r="G237" s="830"/>
      <c r="H237" s="830"/>
      <c r="I237" s="830"/>
    </row>
    <row r="238" spans="1:9" x14ac:dyDescent="0.3">
      <c r="A238" s="830"/>
      <c r="B238" s="830"/>
      <c r="C238" s="830"/>
      <c r="D238" s="830"/>
      <c r="E238" s="830"/>
      <c r="F238" s="830"/>
      <c r="G238" s="830"/>
      <c r="H238" s="830"/>
      <c r="I238" s="830"/>
    </row>
    <row r="239" spans="1:9" x14ac:dyDescent="0.3">
      <c r="A239" s="830"/>
      <c r="B239" s="830"/>
      <c r="C239" s="830"/>
      <c r="D239" s="830"/>
      <c r="E239" s="830"/>
      <c r="F239" s="830"/>
      <c r="G239" s="830"/>
      <c r="H239" s="830"/>
      <c r="I239" s="830"/>
    </row>
    <row r="240" spans="1:9" x14ac:dyDescent="0.3">
      <c r="A240" s="830"/>
      <c r="B240" s="830"/>
      <c r="C240" s="830"/>
      <c r="D240" s="830"/>
      <c r="E240" s="830"/>
      <c r="F240" s="830"/>
      <c r="G240" s="830"/>
      <c r="H240" s="830"/>
      <c r="I240" s="830"/>
    </row>
    <row r="241" spans="1:9" x14ac:dyDescent="0.3">
      <c r="A241" s="830"/>
      <c r="B241" s="830"/>
      <c r="C241" s="830"/>
      <c r="D241" s="830"/>
      <c r="E241" s="830"/>
      <c r="F241" s="830"/>
      <c r="G241" s="830"/>
      <c r="H241" s="830"/>
      <c r="I241" s="830"/>
    </row>
    <row r="242" spans="1:9" x14ac:dyDescent="0.3">
      <c r="A242" s="830"/>
      <c r="B242" s="830"/>
      <c r="C242" s="830"/>
      <c r="D242" s="830"/>
      <c r="E242" s="830"/>
      <c r="F242" s="830"/>
      <c r="G242" s="830"/>
      <c r="H242" s="830"/>
      <c r="I242" s="830"/>
    </row>
    <row r="243" spans="1:9" x14ac:dyDescent="0.3">
      <c r="A243" s="830"/>
      <c r="B243" s="830"/>
      <c r="C243" s="830"/>
      <c r="D243" s="830"/>
      <c r="E243" s="830"/>
      <c r="F243" s="830"/>
      <c r="G243" s="830"/>
      <c r="H243" s="830"/>
      <c r="I243" s="830"/>
    </row>
    <row r="244" spans="1:9" x14ac:dyDescent="0.3">
      <c r="A244" s="830"/>
      <c r="B244" s="830"/>
      <c r="C244" s="830"/>
      <c r="D244" s="830"/>
      <c r="E244" s="830"/>
      <c r="F244" s="830"/>
      <c r="G244" s="830"/>
      <c r="H244" s="830"/>
      <c r="I244" s="830"/>
    </row>
    <row r="245" spans="1:9" x14ac:dyDescent="0.3">
      <c r="A245" s="830"/>
      <c r="B245" s="830"/>
      <c r="C245" s="830"/>
      <c r="D245" s="830"/>
      <c r="E245" s="830"/>
      <c r="F245" s="830"/>
      <c r="G245" s="830"/>
      <c r="H245" s="830"/>
      <c r="I245" s="830"/>
    </row>
    <row r="246" spans="1:9" x14ac:dyDescent="0.3">
      <c r="A246" s="830"/>
      <c r="B246" s="830"/>
      <c r="C246" s="830"/>
      <c r="D246" s="830"/>
      <c r="E246" s="830"/>
      <c r="F246" s="830"/>
      <c r="G246" s="830"/>
      <c r="H246" s="830"/>
      <c r="I246" s="830"/>
    </row>
    <row r="247" spans="1:9" x14ac:dyDescent="0.3">
      <c r="A247" s="830"/>
      <c r="B247" s="830"/>
      <c r="C247" s="830"/>
      <c r="D247" s="830"/>
      <c r="E247" s="830"/>
      <c r="F247" s="830"/>
      <c r="G247" s="830"/>
      <c r="H247" s="830"/>
      <c r="I247" s="830"/>
    </row>
    <row r="248" spans="1:9" x14ac:dyDescent="0.3">
      <c r="A248" s="830"/>
      <c r="B248" s="830"/>
      <c r="C248" s="830"/>
      <c r="D248" s="830"/>
      <c r="E248" s="830"/>
      <c r="F248" s="830"/>
      <c r="G248" s="830"/>
      <c r="H248" s="830"/>
      <c r="I248" s="830"/>
    </row>
    <row r="249" spans="1:9" x14ac:dyDescent="0.3">
      <c r="A249" s="830"/>
      <c r="B249" s="830"/>
      <c r="C249" s="830"/>
      <c r="D249" s="830"/>
      <c r="E249" s="830"/>
      <c r="F249" s="830"/>
      <c r="G249" s="830"/>
      <c r="H249" s="830"/>
      <c r="I249" s="830"/>
    </row>
    <row r="250" spans="1:9" x14ac:dyDescent="0.3">
      <c r="A250" s="830"/>
      <c r="B250" s="830"/>
      <c r="C250" s="830"/>
      <c r="D250" s="830"/>
      <c r="E250" s="830"/>
      <c r="F250" s="830"/>
      <c r="G250" s="830"/>
      <c r="H250" s="830"/>
      <c r="I250" s="830"/>
    </row>
    <row r="251" spans="1:9" x14ac:dyDescent="0.3">
      <c r="A251" s="830"/>
      <c r="B251" s="830"/>
      <c r="C251" s="830"/>
      <c r="D251" s="830"/>
      <c r="E251" s="830"/>
      <c r="F251" s="830"/>
      <c r="G251" s="830"/>
      <c r="H251" s="830"/>
      <c r="I251" s="830"/>
    </row>
    <row r="252" spans="1:9" x14ac:dyDescent="0.3">
      <c r="A252" s="830"/>
      <c r="B252" s="830"/>
      <c r="C252" s="830"/>
      <c r="D252" s="830"/>
      <c r="E252" s="830"/>
      <c r="F252" s="830"/>
      <c r="G252" s="830"/>
      <c r="H252" s="830"/>
      <c r="I252" s="830"/>
    </row>
    <row r="253" spans="1:9" x14ac:dyDescent="0.3">
      <c r="A253" s="830"/>
      <c r="B253" s="830"/>
      <c r="C253" s="830"/>
      <c r="D253" s="830"/>
      <c r="E253" s="830"/>
      <c r="F253" s="830"/>
      <c r="G253" s="830"/>
      <c r="H253" s="830"/>
      <c r="I253" s="830"/>
    </row>
    <row r="254" spans="1:9" x14ac:dyDescent="0.3">
      <c r="A254" s="830"/>
      <c r="B254" s="830"/>
      <c r="C254" s="830"/>
      <c r="D254" s="830"/>
      <c r="E254" s="830"/>
      <c r="F254" s="830"/>
      <c r="G254" s="830"/>
      <c r="H254" s="830"/>
      <c r="I254" s="830"/>
    </row>
    <row r="255" spans="1:9" x14ac:dyDescent="0.3">
      <c r="A255" s="830"/>
      <c r="B255" s="830"/>
      <c r="C255" s="830"/>
      <c r="D255" s="830"/>
      <c r="E255" s="830"/>
      <c r="F255" s="830"/>
      <c r="G255" s="830"/>
      <c r="H255" s="830"/>
      <c r="I255" s="830"/>
    </row>
    <row r="256" spans="1:9" x14ac:dyDescent="0.3">
      <c r="A256" s="830"/>
      <c r="B256" s="830"/>
      <c r="C256" s="830"/>
      <c r="D256" s="830"/>
      <c r="E256" s="830"/>
      <c r="F256" s="830"/>
      <c r="G256" s="830"/>
      <c r="H256" s="830"/>
      <c r="I256" s="830"/>
    </row>
    <row r="257" spans="1:9" x14ac:dyDescent="0.3">
      <c r="A257" s="830"/>
      <c r="B257" s="830"/>
      <c r="C257" s="830"/>
      <c r="D257" s="830"/>
      <c r="E257" s="830"/>
      <c r="F257" s="830"/>
      <c r="G257" s="830"/>
      <c r="H257" s="830"/>
      <c r="I257" s="830"/>
    </row>
    <row r="258" spans="1:9" x14ac:dyDescent="0.3">
      <c r="A258" s="830"/>
      <c r="B258" s="830"/>
      <c r="C258" s="830"/>
      <c r="D258" s="830"/>
      <c r="E258" s="830"/>
      <c r="F258" s="830"/>
      <c r="G258" s="830"/>
      <c r="H258" s="830"/>
      <c r="I258" s="830"/>
    </row>
    <row r="259" spans="1:9" x14ac:dyDescent="0.3">
      <c r="A259" s="830"/>
      <c r="B259" s="830"/>
      <c r="C259" s="830"/>
      <c r="D259" s="830"/>
      <c r="E259" s="830"/>
      <c r="F259" s="830"/>
      <c r="G259" s="830"/>
      <c r="H259" s="830"/>
      <c r="I259" s="830"/>
    </row>
    <row r="260" spans="1:9" x14ac:dyDescent="0.3">
      <c r="A260" s="830"/>
      <c r="B260" s="830"/>
      <c r="C260" s="830"/>
      <c r="D260" s="830"/>
      <c r="E260" s="830"/>
      <c r="F260" s="830"/>
      <c r="G260" s="830"/>
      <c r="H260" s="830"/>
      <c r="I260" s="830"/>
    </row>
    <row r="261" spans="1:9" x14ac:dyDescent="0.3">
      <c r="A261" s="830"/>
      <c r="B261" s="830"/>
      <c r="C261" s="830"/>
      <c r="D261" s="830"/>
      <c r="E261" s="830"/>
      <c r="F261" s="830"/>
      <c r="G261" s="830"/>
      <c r="H261" s="830"/>
      <c r="I261" s="830"/>
    </row>
    <row r="262" spans="1:9" x14ac:dyDescent="0.3">
      <c r="A262" s="830"/>
      <c r="B262" s="830"/>
      <c r="C262" s="830"/>
      <c r="D262" s="830"/>
      <c r="E262" s="830"/>
      <c r="F262" s="830"/>
      <c r="G262" s="830"/>
      <c r="H262" s="830"/>
      <c r="I262" s="830"/>
    </row>
    <row r="263" spans="1:9" x14ac:dyDescent="0.3">
      <c r="A263" s="830"/>
      <c r="B263" s="830"/>
      <c r="C263" s="830"/>
      <c r="D263" s="830"/>
      <c r="E263" s="830"/>
      <c r="F263" s="830"/>
      <c r="G263" s="830"/>
      <c r="H263" s="830"/>
      <c r="I263" s="830"/>
    </row>
    <row r="264" spans="1:9" x14ac:dyDescent="0.3">
      <c r="A264" s="830"/>
      <c r="B264" s="830"/>
      <c r="C264" s="830"/>
      <c r="D264" s="830"/>
      <c r="E264" s="830"/>
      <c r="F264" s="830"/>
      <c r="G264" s="830"/>
      <c r="H264" s="830"/>
      <c r="I264" s="830"/>
    </row>
    <row r="265" spans="1:9" x14ac:dyDescent="0.3">
      <c r="A265" s="830"/>
      <c r="B265" s="830"/>
      <c r="C265" s="830"/>
      <c r="D265" s="830"/>
      <c r="E265" s="830"/>
      <c r="F265" s="830"/>
      <c r="G265" s="830"/>
      <c r="H265" s="830"/>
      <c r="I265" s="830"/>
    </row>
    <row r="266" spans="1:9" x14ac:dyDescent="0.3">
      <c r="A266" s="830"/>
      <c r="B266" s="830"/>
      <c r="C266" s="830"/>
      <c r="D266" s="830"/>
      <c r="E266" s="830"/>
      <c r="F266" s="830"/>
      <c r="G266" s="830"/>
      <c r="H266" s="830"/>
      <c r="I266" s="830"/>
    </row>
    <row r="267" spans="1:9" x14ac:dyDescent="0.3">
      <c r="A267" s="830"/>
      <c r="B267" s="830"/>
      <c r="C267" s="830"/>
      <c r="D267" s="830"/>
      <c r="E267" s="830"/>
      <c r="F267" s="830"/>
      <c r="G267" s="830"/>
      <c r="H267" s="830"/>
      <c r="I267" s="830"/>
    </row>
    <row r="268" spans="1:9" x14ac:dyDescent="0.3">
      <c r="A268" s="830"/>
      <c r="B268" s="830"/>
      <c r="C268" s="830"/>
      <c r="D268" s="830"/>
      <c r="E268" s="830"/>
      <c r="F268" s="830"/>
      <c r="G268" s="830"/>
      <c r="H268" s="830"/>
      <c r="I268" s="830"/>
    </row>
    <row r="269" spans="1:9" x14ac:dyDescent="0.3">
      <c r="A269" s="830"/>
      <c r="B269" s="830"/>
      <c r="C269" s="830"/>
      <c r="D269" s="830"/>
      <c r="E269" s="830"/>
      <c r="F269" s="830"/>
      <c r="G269" s="830"/>
      <c r="H269" s="830"/>
      <c r="I269" s="830"/>
    </row>
    <row r="270" spans="1:9" x14ac:dyDescent="0.3">
      <c r="A270" s="830"/>
      <c r="B270" s="830"/>
      <c r="C270" s="830"/>
      <c r="D270" s="830"/>
      <c r="E270" s="830"/>
      <c r="F270" s="830"/>
      <c r="G270" s="830"/>
      <c r="H270" s="830"/>
      <c r="I270" s="830"/>
    </row>
    <row r="271" spans="1:9" x14ac:dyDescent="0.3">
      <c r="A271" s="830"/>
      <c r="B271" s="830"/>
      <c r="C271" s="830"/>
      <c r="D271" s="830"/>
      <c r="E271" s="830"/>
      <c r="F271" s="830"/>
      <c r="G271" s="830"/>
      <c r="H271" s="830"/>
      <c r="I271" s="830"/>
    </row>
    <row r="272" spans="1:9" x14ac:dyDescent="0.3">
      <c r="A272" s="830"/>
      <c r="B272" s="830"/>
      <c r="C272" s="830"/>
      <c r="D272" s="830"/>
      <c r="E272" s="830"/>
      <c r="F272" s="830"/>
      <c r="G272" s="830"/>
      <c r="H272" s="830"/>
      <c r="I272" s="830"/>
    </row>
    <row r="273" spans="1:9" x14ac:dyDescent="0.3">
      <c r="A273" s="830"/>
      <c r="B273" s="830"/>
      <c r="C273" s="830"/>
      <c r="D273" s="830"/>
      <c r="E273" s="830"/>
      <c r="F273" s="830"/>
      <c r="G273" s="830"/>
      <c r="H273" s="830"/>
      <c r="I273" s="830"/>
    </row>
    <row r="274" spans="1:9" x14ac:dyDescent="0.3">
      <c r="A274" s="830"/>
      <c r="B274" s="830"/>
      <c r="C274" s="830"/>
      <c r="D274" s="830"/>
      <c r="E274" s="830"/>
      <c r="F274" s="830"/>
      <c r="G274" s="830"/>
      <c r="H274" s="830"/>
      <c r="I274" s="830"/>
    </row>
    <row r="275" spans="1:9" x14ac:dyDescent="0.3">
      <c r="A275" s="830"/>
      <c r="B275" s="830"/>
      <c r="C275" s="830"/>
      <c r="D275" s="830"/>
      <c r="E275" s="830"/>
      <c r="F275" s="830"/>
      <c r="G275" s="830"/>
      <c r="H275" s="830"/>
      <c r="I275" s="830"/>
    </row>
    <row r="276" spans="1:9" x14ac:dyDescent="0.3">
      <c r="A276" s="830"/>
      <c r="B276" s="830"/>
      <c r="C276" s="830"/>
      <c r="D276" s="830"/>
      <c r="E276" s="830"/>
      <c r="F276" s="830"/>
      <c r="G276" s="830"/>
      <c r="H276" s="830"/>
      <c r="I276" s="830"/>
    </row>
    <row r="277" spans="1:9" x14ac:dyDescent="0.3">
      <c r="A277" s="830"/>
      <c r="B277" s="830"/>
      <c r="C277" s="830"/>
      <c r="D277" s="830"/>
      <c r="E277" s="830"/>
      <c r="F277" s="830"/>
      <c r="G277" s="830"/>
      <c r="H277" s="830"/>
      <c r="I277" s="830"/>
    </row>
    <row r="278" spans="1:9" x14ac:dyDescent="0.3">
      <c r="A278" s="830"/>
      <c r="B278" s="830"/>
      <c r="C278" s="830"/>
      <c r="D278" s="830"/>
      <c r="E278" s="830"/>
      <c r="F278" s="830"/>
      <c r="G278" s="830"/>
      <c r="H278" s="830"/>
      <c r="I278" s="830"/>
    </row>
    <row r="279" spans="1:9" x14ac:dyDescent="0.3">
      <c r="A279" s="830"/>
      <c r="B279" s="830"/>
      <c r="C279" s="830"/>
      <c r="D279" s="830"/>
      <c r="E279" s="830"/>
      <c r="F279" s="830"/>
      <c r="G279" s="830"/>
      <c r="H279" s="830"/>
      <c r="I279" s="830"/>
    </row>
    <row r="280" spans="1:9" x14ac:dyDescent="0.3">
      <c r="A280" s="830"/>
      <c r="B280" s="830"/>
      <c r="C280" s="830"/>
      <c r="D280" s="830"/>
      <c r="E280" s="830"/>
      <c r="F280" s="830"/>
      <c r="G280" s="830"/>
      <c r="H280" s="830"/>
      <c r="I280" s="830"/>
    </row>
  </sheetData>
  <hyperlinks>
    <hyperlink ref="F2" location="BOM!A1" display="Back to BOM"/>
    <hyperlink ref="B4" location="SU_A0800" display="SU_A0800"/>
  </hyperlinks>
  <pageMargins left="0.7" right="0.7" top="0.75" bottom="0.75" header="0.3" footer="0.3"/>
  <drawing r:id="rId1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P18"/>
  <sheetViews>
    <sheetView zoomScale="80" zoomScaleNormal="80" workbookViewId="0">
      <selection activeCell="E3" sqref="E3"/>
    </sheetView>
  </sheetViews>
  <sheetFormatPr baseColWidth="10" defaultRowHeight="14.4" x14ac:dyDescent="0.3"/>
  <cols>
    <col min="1" max="1" width="11.5546875" customWidth="1"/>
    <col min="2" max="2" width="19.109375" customWidth="1"/>
    <col min="3" max="3" width="32" customWidth="1"/>
    <col min="5" max="5" width="13.21875" bestFit="1" customWidth="1"/>
    <col min="7" max="7" width="38.21875" customWidth="1"/>
    <col min="9" max="9" width="16.77734375" customWidth="1"/>
    <col min="11" max="11" width="7.77734375" customWidth="1"/>
    <col min="12" max="12" width="9.33203125" customWidth="1"/>
    <col min="15" max="15" width="6.7773437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SU_08002_m+SU_08002_p</f>
        <v>2.0644187499999997</v>
      </c>
      <c r="O2" s="62"/>
    </row>
    <row r="3" spans="1:16" x14ac:dyDescent="0.3">
      <c r="A3" s="102" t="s">
        <v>3</v>
      </c>
      <c r="B3" s="16" t="str">
        <f>'SU A0800'!B3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6" x14ac:dyDescent="0.3">
      <c r="A4" s="102" t="s">
        <v>5</v>
      </c>
      <c r="B4" s="88" t="str">
        <f>'SU A0800'!B4</f>
        <v>Rear Bell Crank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6" x14ac:dyDescent="0.3">
      <c r="A5" s="102" t="s">
        <v>15</v>
      </c>
      <c r="B5" s="28" t="s">
        <v>414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4.1288374999999995</v>
      </c>
      <c r="O5" s="62"/>
    </row>
    <row r="6" spans="1:16" x14ac:dyDescent="0.3">
      <c r="A6" s="102" t="s">
        <v>7</v>
      </c>
      <c r="B6" t="s">
        <v>448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6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6" ht="28.8" x14ac:dyDescent="0.3">
      <c r="A11" s="784">
        <v>10</v>
      </c>
      <c r="B11" s="682" t="s">
        <v>375</v>
      </c>
      <c r="C11" s="20" t="s">
        <v>416</v>
      </c>
      <c r="D11" s="289">
        <v>2.25</v>
      </c>
      <c r="E11" s="785">
        <f>L11*J11*K11</f>
        <v>0.15307499999999999</v>
      </c>
      <c r="F11" s="20" t="s">
        <v>212</v>
      </c>
      <c r="G11" s="20"/>
      <c r="H11" s="290"/>
      <c r="I11" s="847" t="s">
        <v>449</v>
      </c>
      <c r="J11" s="786">
        <f>100*65*10^-6</f>
        <v>6.4999999999999997E-3</v>
      </c>
      <c r="K11" s="685">
        <v>3.0000000000000001E-3</v>
      </c>
      <c r="L11" s="686">
        <v>7850</v>
      </c>
      <c r="M11" s="23">
        <v>1</v>
      </c>
      <c r="N11" s="289">
        <f>IF(J11="",D11*M11,D11*J11*K11*L11*M11)</f>
        <v>0.34441874999999994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0.34441874999999994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787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6" ht="28.8" x14ac:dyDescent="0.3">
      <c r="A15" s="832">
        <v>10</v>
      </c>
      <c r="B15" s="848" t="s">
        <v>418</v>
      </c>
      <c r="C15" s="817" t="s">
        <v>419</v>
      </c>
      <c r="D15" s="815">
        <v>1.3</v>
      </c>
      <c r="E15" s="817" t="s">
        <v>35</v>
      </c>
      <c r="F15" s="817">
        <v>1</v>
      </c>
      <c r="G15" s="817" t="s">
        <v>420</v>
      </c>
      <c r="H15" s="817">
        <v>0.25</v>
      </c>
      <c r="I15" s="815">
        <f>D15*F15*H15</f>
        <v>0.32500000000000001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832">
        <v>20</v>
      </c>
      <c r="B16" s="817" t="s">
        <v>421</v>
      </c>
      <c r="C16" s="817" t="s">
        <v>422</v>
      </c>
      <c r="D16" s="815">
        <v>0.01</v>
      </c>
      <c r="E16" s="817" t="s">
        <v>40</v>
      </c>
      <c r="F16" s="817">
        <v>46.5</v>
      </c>
      <c r="G16" s="817" t="s">
        <v>413</v>
      </c>
      <c r="H16" s="817">
        <v>3</v>
      </c>
      <c r="I16" s="815">
        <f>D16*F16*H16</f>
        <v>1.395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9">
        <f>SUM(I15:I16)</f>
        <v>1.72</v>
      </c>
      <c r="J17" s="24"/>
      <c r="K17" s="24"/>
      <c r="L17" s="24"/>
      <c r="M17" s="24"/>
      <c r="N17" s="24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8002" display="Drawing"/>
    <hyperlink ref="G2" location="SU_A0800_BOM" display="Back to BOM"/>
    <hyperlink ref="B4" location="SU_A0800" display="SU_A0800"/>
  </hyperlinks>
  <pageMargins left="0.7" right="0.7" top="0.75" bottom="0.75" header="0.3" footer="0.3"/>
  <drawing r:id="rId1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Normal="100" workbookViewId="0"/>
  </sheetViews>
  <sheetFormatPr baseColWidth="10" defaultRowHeight="14.4" x14ac:dyDescent="0.3"/>
  <cols>
    <col min="1" max="1" width="12.109375" customWidth="1"/>
  </cols>
  <sheetData>
    <row r="1" spans="1:2" x14ac:dyDescent="0.3">
      <c r="A1" t="s">
        <v>423</v>
      </c>
      <c r="B1" s="287" t="s">
        <v>453</v>
      </c>
    </row>
  </sheetData>
  <hyperlinks>
    <hyperlink ref="B1" location="SU_08002" display="SU_08002"/>
  </hyperlinks>
  <pageMargins left="0.7" right="0.7" top="0.75" bottom="0.75" header="0.3" footer="0.3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1"/>
  <sheetViews>
    <sheetView zoomScale="70" zoomScaleNormal="70" workbookViewId="0">
      <selection activeCell="B4" sqref="B4"/>
    </sheetView>
  </sheetViews>
  <sheetFormatPr baseColWidth="10" defaultRowHeight="14.4" x14ac:dyDescent="0.3"/>
  <cols>
    <col min="2" max="2" width="39.109375" customWidth="1"/>
    <col min="3" max="3" width="30.88671875" customWidth="1"/>
    <col min="7" max="7" width="36.77734375" customWidth="1"/>
    <col min="9" max="9" width="29.218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833" t="s">
        <v>0</v>
      </c>
      <c r="B2" s="16" t="s">
        <v>37</v>
      </c>
      <c r="C2" s="803"/>
      <c r="D2" s="803"/>
      <c r="E2" s="803"/>
      <c r="F2" s="804" t="s">
        <v>126</v>
      </c>
      <c r="G2" s="803"/>
      <c r="H2" s="803"/>
      <c r="I2" s="803"/>
      <c r="J2" s="834" t="s">
        <v>1</v>
      </c>
      <c r="K2" s="806">
        <v>81</v>
      </c>
      <c r="L2" s="803"/>
      <c r="M2" s="835" t="s">
        <v>16</v>
      </c>
      <c r="N2" s="807">
        <f>SU_08003_m+SU_08003_p</f>
        <v>3.3779399999999997</v>
      </c>
      <c r="O2" s="276"/>
    </row>
    <row r="3" spans="1:15" x14ac:dyDescent="0.3">
      <c r="A3" s="836" t="s">
        <v>3</v>
      </c>
      <c r="B3" s="16" t="str">
        <f>'SU A0800'!B3</f>
        <v>Suspension &amp; Shocks</v>
      </c>
      <c r="C3" s="803"/>
      <c r="D3" s="835" t="s">
        <v>6</v>
      </c>
      <c r="E3" s="803"/>
      <c r="F3" s="803"/>
      <c r="G3" s="803"/>
      <c r="H3" s="803"/>
      <c r="I3" s="803"/>
      <c r="J3" s="803"/>
      <c r="K3" s="803"/>
      <c r="L3" s="803"/>
      <c r="M3" s="837" t="s">
        <v>4</v>
      </c>
      <c r="N3" s="808">
        <v>1</v>
      </c>
      <c r="O3" s="276"/>
    </row>
    <row r="4" spans="1:15" x14ac:dyDescent="0.3">
      <c r="A4" s="836" t="s">
        <v>5</v>
      </c>
      <c r="B4" s="88" t="str">
        <f>'SU A0800'!B4</f>
        <v>Rear Bell Crank</v>
      </c>
      <c r="C4" s="803"/>
      <c r="D4" s="837" t="s">
        <v>8</v>
      </c>
      <c r="E4" s="803"/>
      <c r="F4" s="803"/>
      <c r="G4" s="803"/>
      <c r="H4" s="803"/>
      <c r="I4" s="803"/>
      <c r="J4" s="835" t="s">
        <v>6</v>
      </c>
      <c r="K4" s="803"/>
      <c r="L4" s="803"/>
      <c r="M4" s="803"/>
      <c r="N4" s="803"/>
      <c r="O4" s="276"/>
    </row>
    <row r="5" spans="1:15" x14ac:dyDescent="0.3">
      <c r="A5" s="836" t="s">
        <v>15</v>
      </c>
      <c r="B5" s="753" t="s">
        <v>441</v>
      </c>
      <c r="C5" s="803"/>
      <c r="D5" s="837" t="s">
        <v>12</v>
      </c>
      <c r="E5" s="803"/>
      <c r="F5" s="803"/>
      <c r="G5" s="803"/>
      <c r="H5" s="803"/>
      <c r="I5" s="803"/>
      <c r="J5" s="837" t="s">
        <v>8</v>
      </c>
      <c r="K5" s="803"/>
      <c r="L5" s="803"/>
      <c r="M5" s="835" t="s">
        <v>9</v>
      </c>
      <c r="N5" s="807">
        <f>N2*N3</f>
        <v>3.3779399999999997</v>
      </c>
      <c r="O5" s="276"/>
    </row>
    <row r="6" spans="1:15" x14ac:dyDescent="0.3">
      <c r="A6" s="836" t="s">
        <v>7</v>
      </c>
      <c r="B6" t="s">
        <v>450</v>
      </c>
      <c r="C6" s="803"/>
      <c r="D6" s="803"/>
      <c r="E6" s="803"/>
      <c r="F6" s="803"/>
      <c r="G6" s="803"/>
      <c r="H6" s="803"/>
      <c r="I6" s="803"/>
      <c r="J6" s="837" t="s">
        <v>12</v>
      </c>
      <c r="K6" s="803"/>
      <c r="L6" s="803"/>
      <c r="M6" s="803"/>
      <c r="N6" s="803"/>
      <c r="O6" s="276"/>
    </row>
    <row r="7" spans="1:15" x14ac:dyDescent="0.3">
      <c r="A7" s="836" t="s">
        <v>10</v>
      </c>
      <c r="B7" s="16" t="s">
        <v>11</v>
      </c>
      <c r="C7" s="803"/>
      <c r="D7" s="803"/>
      <c r="E7" s="803"/>
      <c r="F7" s="803"/>
      <c r="G7" s="803"/>
      <c r="H7" s="803"/>
      <c r="I7" s="803"/>
      <c r="J7" s="803"/>
      <c r="K7" s="803"/>
      <c r="L7" s="803"/>
      <c r="M7" s="803"/>
      <c r="N7" s="803"/>
      <c r="O7" s="276"/>
    </row>
    <row r="8" spans="1:15" x14ac:dyDescent="0.3">
      <c r="A8" s="836" t="s">
        <v>13</v>
      </c>
      <c r="B8" s="16"/>
      <c r="C8" s="803"/>
      <c r="D8" s="803"/>
      <c r="E8" s="803"/>
      <c r="F8" s="803"/>
      <c r="G8" s="803"/>
      <c r="H8" s="803"/>
      <c r="I8" s="803"/>
      <c r="J8" s="803"/>
      <c r="K8" s="803"/>
      <c r="L8" s="803"/>
      <c r="M8" s="803"/>
      <c r="N8" s="803"/>
      <c r="O8" s="276"/>
    </row>
    <row r="9" spans="1:15" x14ac:dyDescent="0.3">
      <c r="A9" s="809"/>
      <c r="B9" s="803"/>
      <c r="C9" s="803"/>
      <c r="D9" s="803"/>
      <c r="E9" s="803"/>
      <c r="F9" s="803"/>
      <c r="G9" s="803"/>
      <c r="H9" s="803"/>
      <c r="I9" s="803"/>
      <c r="J9" s="803"/>
      <c r="K9" s="803"/>
      <c r="L9" s="803"/>
      <c r="M9" s="803"/>
      <c r="N9" s="803"/>
      <c r="O9" s="276"/>
    </row>
    <row r="10" spans="1:15" x14ac:dyDescent="0.3">
      <c r="A10" s="838" t="s">
        <v>14</v>
      </c>
      <c r="B10" s="839" t="s">
        <v>19</v>
      </c>
      <c r="C10" s="839" t="s">
        <v>20</v>
      </c>
      <c r="D10" s="840" t="s">
        <v>21</v>
      </c>
      <c r="E10" s="840" t="s">
        <v>22</v>
      </c>
      <c r="F10" s="840" t="s">
        <v>23</v>
      </c>
      <c r="G10" s="840" t="s">
        <v>24</v>
      </c>
      <c r="H10" s="840" t="s">
        <v>25</v>
      </c>
      <c r="I10" s="840" t="s">
        <v>26</v>
      </c>
      <c r="J10" s="840" t="s">
        <v>27</v>
      </c>
      <c r="K10" s="840" t="s">
        <v>28</v>
      </c>
      <c r="L10" s="840" t="s">
        <v>29</v>
      </c>
      <c r="M10" s="840" t="s">
        <v>17</v>
      </c>
      <c r="N10" s="840" t="s">
        <v>18</v>
      </c>
      <c r="O10" s="276"/>
    </row>
    <row r="11" spans="1:15" x14ac:dyDescent="0.3">
      <c r="A11" s="841">
        <v>10</v>
      </c>
      <c r="B11" s="783" t="s">
        <v>375</v>
      </c>
      <c r="C11" s="842" t="s">
        <v>376</v>
      </c>
      <c r="D11" s="815">
        <v>2.25</v>
      </c>
      <c r="E11" s="816">
        <f>J11*K11*L11</f>
        <v>0.36423999999999995</v>
      </c>
      <c r="F11" s="817" t="s">
        <v>212</v>
      </c>
      <c r="G11" s="817"/>
      <c r="H11" s="818"/>
      <c r="I11" s="819" t="s">
        <v>451</v>
      </c>
      <c r="J11" s="819">
        <f>50*58*10^-6</f>
        <v>2.8999999999999998E-3</v>
      </c>
      <c r="K11" s="820">
        <v>1.6E-2</v>
      </c>
      <c r="L11" s="821">
        <v>7850</v>
      </c>
      <c r="M11" s="821">
        <v>1</v>
      </c>
      <c r="N11" s="815">
        <f>D11*E11*M11</f>
        <v>0.81953999999999994</v>
      </c>
      <c r="O11" s="276"/>
    </row>
    <row r="12" spans="1:15" x14ac:dyDescent="0.3">
      <c r="A12" s="822"/>
      <c r="B12" s="823"/>
      <c r="C12" s="823"/>
      <c r="D12" s="823"/>
      <c r="E12" s="823"/>
      <c r="F12" s="823"/>
      <c r="G12" s="823"/>
      <c r="H12" s="823"/>
      <c r="I12" s="823"/>
      <c r="J12" s="823"/>
      <c r="K12" s="823"/>
      <c r="L12" s="823"/>
      <c r="M12" s="843" t="s">
        <v>18</v>
      </c>
      <c r="N12" s="844">
        <f>N11</f>
        <v>0.81953999999999994</v>
      </c>
      <c r="O12" s="276"/>
    </row>
    <row r="13" spans="1:15" x14ac:dyDescent="0.3">
      <c r="A13" s="809"/>
      <c r="B13" s="803"/>
      <c r="C13" s="803"/>
      <c r="D13" s="803"/>
      <c r="E13" s="803"/>
      <c r="F13" s="803"/>
      <c r="G13" s="803"/>
      <c r="H13" s="803"/>
      <c r="I13" s="803"/>
      <c r="J13" s="803"/>
      <c r="K13" s="803"/>
      <c r="L13" s="803"/>
      <c r="M13" s="803"/>
      <c r="N13" s="803"/>
      <c r="O13" s="276"/>
    </row>
    <row r="14" spans="1:15" x14ac:dyDescent="0.3">
      <c r="A14" s="845" t="s">
        <v>14</v>
      </c>
      <c r="B14" s="840" t="s">
        <v>31</v>
      </c>
      <c r="C14" s="840" t="s">
        <v>20</v>
      </c>
      <c r="D14" s="840" t="s">
        <v>21</v>
      </c>
      <c r="E14" s="840" t="s">
        <v>32</v>
      </c>
      <c r="F14" s="840" t="s">
        <v>17</v>
      </c>
      <c r="G14" s="840" t="s">
        <v>33</v>
      </c>
      <c r="H14" s="840" t="s">
        <v>34</v>
      </c>
      <c r="I14" s="840" t="s">
        <v>18</v>
      </c>
      <c r="J14" s="823"/>
      <c r="K14" s="823"/>
      <c r="L14" s="823"/>
      <c r="M14" s="823"/>
      <c r="N14" s="823"/>
      <c r="O14" s="276"/>
    </row>
    <row r="15" spans="1:15" x14ac:dyDescent="0.3">
      <c r="A15" s="826">
        <v>10</v>
      </c>
      <c r="B15" s="817" t="s">
        <v>418</v>
      </c>
      <c r="C15" s="817" t="s">
        <v>419</v>
      </c>
      <c r="D15" s="815">
        <v>1.3</v>
      </c>
      <c r="E15" s="817" t="s">
        <v>35</v>
      </c>
      <c r="F15" s="817">
        <v>1</v>
      </c>
      <c r="G15" s="817" t="s">
        <v>452</v>
      </c>
      <c r="H15" s="817">
        <v>0.5</v>
      </c>
      <c r="I15" s="815">
        <f>D15*F15*H15</f>
        <v>0.65</v>
      </c>
      <c r="J15" s="803"/>
      <c r="K15" s="803"/>
      <c r="L15" s="803"/>
      <c r="M15" s="803"/>
      <c r="N15" s="803"/>
      <c r="O15" s="276"/>
    </row>
    <row r="16" spans="1:15" x14ac:dyDescent="0.3">
      <c r="A16" s="826">
        <v>20</v>
      </c>
      <c r="B16" s="817" t="s">
        <v>421</v>
      </c>
      <c r="C16" s="817" t="s">
        <v>422</v>
      </c>
      <c r="D16" s="815">
        <v>0.01</v>
      </c>
      <c r="E16" s="817" t="s">
        <v>40</v>
      </c>
      <c r="F16" s="817">
        <v>20</v>
      </c>
      <c r="G16" s="817" t="s">
        <v>413</v>
      </c>
      <c r="H16" s="817">
        <v>3</v>
      </c>
      <c r="I16" s="815">
        <f>D16*F16*H16</f>
        <v>0.60000000000000009</v>
      </c>
      <c r="J16" s="803"/>
      <c r="K16" s="803"/>
      <c r="L16" s="803"/>
      <c r="M16" s="803"/>
      <c r="N16" s="803"/>
      <c r="O16" s="276"/>
    </row>
    <row r="17" spans="1:15" x14ac:dyDescent="0.3">
      <c r="A17" s="826">
        <v>30</v>
      </c>
      <c r="B17" s="817" t="s">
        <v>39</v>
      </c>
      <c r="C17" s="817"/>
      <c r="D17" s="815">
        <v>1.3</v>
      </c>
      <c r="E17" s="817" t="s">
        <v>35</v>
      </c>
      <c r="F17" s="817">
        <v>1</v>
      </c>
      <c r="G17" s="817"/>
      <c r="H17" s="817"/>
      <c r="I17" s="815">
        <v>1.3</v>
      </c>
      <c r="J17" s="823"/>
      <c r="K17" s="823"/>
      <c r="L17" s="823"/>
      <c r="M17" s="823"/>
      <c r="N17" s="823"/>
      <c r="O17" s="276"/>
    </row>
    <row r="18" spans="1:15" x14ac:dyDescent="0.3">
      <c r="A18" s="826">
        <v>40</v>
      </c>
      <c r="B18" s="817" t="s">
        <v>427</v>
      </c>
      <c r="C18" s="817" t="s">
        <v>409</v>
      </c>
      <c r="D18" s="815">
        <v>0.04</v>
      </c>
      <c r="E18" s="817" t="s">
        <v>161</v>
      </c>
      <c r="F18" s="817">
        <v>7.0000000000000007E-2</v>
      </c>
      <c r="G18" s="817" t="s">
        <v>413</v>
      </c>
      <c r="H18" s="817">
        <v>3</v>
      </c>
      <c r="I18" s="815">
        <f>D18*F18*H18</f>
        <v>8.4000000000000012E-3</v>
      </c>
      <c r="J18" s="803"/>
      <c r="K18" s="803"/>
      <c r="L18" s="803"/>
      <c r="M18" s="803"/>
      <c r="N18" s="803"/>
      <c r="O18" s="276"/>
    </row>
    <row r="19" spans="1:15" x14ac:dyDescent="0.3">
      <c r="A19" s="822"/>
      <c r="B19" s="823"/>
      <c r="C19" s="823"/>
      <c r="D19" s="823"/>
      <c r="E19" s="823"/>
      <c r="F19" s="823"/>
      <c r="G19" s="823"/>
      <c r="H19" s="843" t="s">
        <v>18</v>
      </c>
      <c r="I19" s="846">
        <f>SUM(I15:I18)</f>
        <v>2.5583999999999998</v>
      </c>
      <c r="J19" s="56"/>
      <c r="K19" s="56"/>
      <c r="L19" s="56"/>
      <c r="M19" s="56"/>
      <c r="N19" s="56"/>
      <c r="O19" s="276"/>
    </row>
    <row r="20" spans="1:15" x14ac:dyDescent="0.3">
      <c r="A20" s="809"/>
      <c r="B20" s="803"/>
      <c r="C20" s="803"/>
      <c r="D20" s="803"/>
      <c r="E20" s="803"/>
      <c r="F20" s="803"/>
      <c r="G20" s="803"/>
      <c r="H20" s="806"/>
      <c r="I20" s="807"/>
      <c r="J20" s="56"/>
      <c r="K20" s="56"/>
      <c r="L20" s="56"/>
      <c r="M20" s="56"/>
      <c r="N20" s="56"/>
      <c r="O20" s="276"/>
    </row>
    <row r="21" spans="1:15" ht="15" thickBot="1" x14ac:dyDescent="0.35">
      <c r="A21" s="296"/>
      <c r="B21" s="297"/>
      <c r="C21" s="297"/>
      <c r="D21" s="297"/>
      <c r="E21" s="297"/>
      <c r="F21" s="297"/>
      <c r="G21" s="297"/>
      <c r="H21" s="297"/>
      <c r="I21" s="297"/>
      <c r="J21" s="297"/>
      <c r="K21" s="297"/>
      <c r="L21" s="297"/>
      <c r="M21" s="297"/>
      <c r="N21" s="297"/>
      <c r="O21" s="298"/>
    </row>
  </sheetData>
  <hyperlinks>
    <hyperlink ref="F2" location="BOM!A1" display="Back to BOM"/>
    <hyperlink ref="B4" location="SU_A0800" display="SU_A0800"/>
  </hyperlinks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9"/>
  <sheetViews>
    <sheetView zoomScale="75" zoomScaleNormal="75" zoomScaleSheetLayoutView="80" workbookViewId="0">
      <selection activeCell="E2" sqref="E2"/>
    </sheetView>
  </sheetViews>
  <sheetFormatPr baseColWidth="10" defaultColWidth="9.109375" defaultRowHeight="14.4" x14ac:dyDescent="0.3"/>
  <cols>
    <col min="2" max="2" width="35.21875" customWidth="1"/>
    <col min="3" max="3" width="45.88671875" customWidth="1"/>
    <col min="14" max="14" width="13" bestFit="1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 t="e">
        <f>SU_A1400_pa+SU_A1400_m+SU_A1400_p+SU_A1400_f</f>
        <v>#NAME?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477</v>
      </c>
      <c r="C4" s="721"/>
      <c r="D4" s="56"/>
      <c r="E4" s="56"/>
      <c r="F4" s="56"/>
      <c r="G4" s="56"/>
      <c r="H4" s="56"/>
      <c r="I4" s="56"/>
      <c r="J4" s="977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493</v>
      </c>
      <c r="C5" s="56"/>
      <c r="D5" s="56"/>
      <c r="E5" s="56"/>
      <c r="F5" s="56"/>
      <c r="G5" s="56"/>
      <c r="H5" s="56"/>
      <c r="I5" s="56"/>
      <c r="J5" s="977" t="s">
        <v>8</v>
      </c>
      <c r="K5" s="56"/>
      <c r="L5" s="56"/>
      <c r="M5" s="98" t="s">
        <v>9</v>
      </c>
      <c r="N5" s="80" t="e">
        <f>N2*SU_A1400_q</f>
        <v>#NAME?</v>
      </c>
      <c r="O5" s="62"/>
    </row>
    <row r="6" spans="1:15" x14ac:dyDescent="0.3">
      <c r="A6" s="98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77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16" t="s">
        <v>497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50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688">
        <v>10</v>
      </c>
      <c r="B10" s="725" t="s">
        <v>476</v>
      </c>
      <c r="C10" s="289">
        <f>'SU 09001'!N2</f>
        <v>9.0687098494115101</v>
      </c>
      <c r="D10" s="849">
        <v>1</v>
      </c>
      <c r="E10" s="289">
        <f>C10*D10</f>
        <v>9.0687098494115101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88">
        <v>20</v>
      </c>
      <c r="B11" s="725" t="s">
        <v>475</v>
      </c>
      <c r="C11" s="289">
        <f>'SU 09002'!N2</f>
        <v>1.6908095579918243</v>
      </c>
      <c r="D11" s="849">
        <v>2</v>
      </c>
      <c r="E11" s="289">
        <f>C11*D11</f>
        <v>3.3816191159836486</v>
      </c>
      <c r="F11" s="56"/>
      <c r="G11" s="56"/>
      <c r="H11" s="56"/>
      <c r="I11" s="56"/>
      <c r="J11" s="56"/>
      <c r="K11" s="56"/>
      <c r="L11" s="56"/>
      <c r="M11" s="56"/>
      <c r="N11" s="56"/>
      <c r="O11" s="62"/>
    </row>
    <row r="12" spans="1:15" x14ac:dyDescent="0.3">
      <c r="A12" s="688">
        <v>30</v>
      </c>
      <c r="B12" s="1058" t="str">
        <f>'SU 09003'!B5</f>
        <v>Spacer 1</v>
      </c>
      <c r="C12" s="289">
        <f>'SU 09004'!N2</f>
        <v>0.85844020273977284</v>
      </c>
      <c r="D12" s="850">
        <v>2</v>
      </c>
      <c r="E12" s="289">
        <f>C12*D12</f>
        <v>1.7168804054795457</v>
      </c>
      <c r="F12" s="57"/>
      <c r="G12" s="57"/>
      <c r="H12" s="57"/>
      <c r="I12" s="57"/>
      <c r="J12" s="57"/>
      <c r="K12" s="57"/>
      <c r="L12" s="57"/>
      <c r="M12" s="57"/>
      <c r="N12" s="57"/>
      <c r="O12" s="64"/>
    </row>
    <row r="13" spans="1:15" x14ac:dyDescent="0.3">
      <c r="A13" s="688">
        <v>40</v>
      </c>
      <c r="B13" s="1058" t="str">
        <f>'SU 09004'!B5</f>
        <v>Spacer 2</v>
      </c>
      <c r="C13" s="289">
        <f>'SU 09003'!N2</f>
        <v>0.75842010136988647</v>
      </c>
      <c r="D13" s="688">
        <v>2</v>
      </c>
      <c r="E13" s="289">
        <f>C13*D13</f>
        <v>1.5168402027397729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x14ac:dyDescent="0.3">
      <c r="A14" s="63"/>
      <c r="B14" s="56"/>
      <c r="C14" s="56"/>
      <c r="D14" s="265" t="s">
        <v>18</v>
      </c>
      <c r="E14" s="244">
        <f>SUM(E10:E13)</f>
        <v>15.684049573614478</v>
      </c>
      <c r="F14" s="57"/>
      <c r="G14" s="57"/>
      <c r="H14" s="57"/>
      <c r="I14" s="57"/>
      <c r="J14" s="57"/>
      <c r="K14" s="57"/>
      <c r="L14" s="57"/>
      <c r="M14" s="57"/>
      <c r="N14" s="57"/>
      <c r="O14" s="62"/>
    </row>
    <row r="15" spans="1:15" x14ac:dyDescent="0.3">
      <c r="A15" s="63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62"/>
    </row>
    <row r="16" spans="1:15" x14ac:dyDescent="0.3">
      <c r="A16" s="98" t="s">
        <v>14</v>
      </c>
      <c r="B16" s="98" t="s">
        <v>19</v>
      </c>
      <c r="C16" s="98" t="s">
        <v>20</v>
      </c>
      <c r="D16" s="98" t="s">
        <v>21</v>
      </c>
      <c r="E16" s="98" t="s">
        <v>22</v>
      </c>
      <c r="F16" s="98" t="s">
        <v>23</v>
      </c>
      <c r="G16" s="98" t="s">
        <v>24</v>
      </c>
      <c r="H16" s="98" t="s">
        <v>25</v>
      </c>
      <c r="I16" s="98" t="s">
        <v>26</v>
      </c>
      <c r="J16" s="98" t="s">
        <v>27</v>
      </c>
      <c r="K16" s="98" t="s">
        <v>28</v>
      </c>
      <c r="L16" s="98" t="s">
        <v>29</v>
      </c>
      <c r="M16" s="98" t="s">
        <v>17</v>
      </c>
      <c r="N16" s="98" t="s">
        <v>18</v>
      </c>
      <c r="O16" s="62"/>
    </row>
    <row r="17" spans="1:15" x14ac:dyDescent="0.3">
      <c r="A17" s="72">
        <v>10</v>
      </c>
      <c r="B17" s="893" t="s">
        <v>473</v>
      </c>
      <c r="C17" s="893" t="s">
        <v>474</v>
      </c>
      <c r="D17" s="284">
        <f>0.02*E17^2+1.22</f>
        <v>2.5</v>
      </c>
      <c r="E17" s="893">
        <v>8</v>
      </c>
      <c r="F17" s="893" t="s">
        <v>30</v>
      </c>
      <c r="G17" s="893"/>
      <c r="H17" s="891"/>
      <c r="I17" s="894" t="s">
        <v>471</v>
      </c>
      <c r="J17" s="889"/>
      <c r="K17" s="891"/>
      <c r="L17" s="891"/>
      <c r="M17" s="889">
        <v>1</v>
      </c>
      <c r="N17" s="286">
        <f>D17*M17</f>
        <v>2.5</v>
      </c>
      <c r="O17" s="62"/>
    </row>
    <row r="18" spans="1:15" s="22" customFormat="1" x14ac:dyDescent="0.3">
      <c r="A18" s="72">
        <v>20</v>
      </c>
      <c r="B18" s="893" t="s">
        <v>473</v>
      </c>
      <c r="C18" s="893" t="s">
        <v>472</v>
      </c>
      <c r="D18" s="284">
        <f>0.02*E18^2+1.22</f>
        <v>2.5</v>
      </c>
      <c r="E18" s="893">
        <v>8</v>
      </c>
      <c r="F18" s="893" t="s">
        <v>30</v>
      </c>
      <c r="G18" s="893"/>
      <c r="H18" s="891"/>
      <c r="I18" s="892" t="s">
        <v>471</v>
      </c>
      <c r="J18" s="889"/>
      <c r="K18" s="891"/>
      <c r="L18" s="890"/>
      <c r="M18" s="889">
        <v>1</v>
      </c>
      <c r="N18" s="286">
        <f>D18*M18</f>
        <v>2.5</v>
      </c>
      <c r="O18" s="66"/>
    </row>
    <row r="19" spans="1:15" x14ac:dyDescent="0.3">
      <c r="A19" s="67"/>
      <c r="B19" s="888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8" t="s">
        <v>18</v>
      </c>
      <c r="N19" s="100">
        <f>SUM(N17:N18)</f>
        <v>5</v>
      </c>
      <c r="O19" s="62"/>
    </row>
    <row r="20" spans="1:15" x14ac:dyDescent="0.3">
      <c r="A20" s="63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62"/>
    </row>
    <row r="21" spans="1:15" s="25" customFormat="1" x14ac:dyDescent="0.3">
      <c r="A21" s="98" t="s">
        <v>14</v>
      </c>
      <c r="B21" s="98" t="s">
        <v>31</v>
      </c>
      <c r="C21" s="98" t="s">
        <v>20</v>
      </c>
      <c r="D21" s="98" t="s">
        <v>21</v>
      </c>
      <c r="E21" s="98" t="s">
        <v>32</v>
      </c>
      <c r="F21" s="98" t="s">
        <v>17</v>
      </c>
      <c r="G21" s="98" t="s">
        <v>33</v>
      </c>
      <c r="H21" s="98" t="s">
        <v>34</v>
      </c>
      <c r="I21" s="98" t="s">
        <v>18</v>
      </c>
      <c r="J21" s="24"/>
      <c r="K21" s="24"/>
      <c r="L21" s="24"/>
      <c r="M21" s="24"/>
      <c r="N21" s="24"/>
      <c r="O21" s="68"/>
    </row>
    <row r="22" spans="1:15" x14ac:dyDescent="0.3">
      <c r="A22" s="72">
        <v>10</v>
      </c>
      <c r="B22" s="288" t="s">
        <v>142</v>
      </c>
      <c r="C22" s="886" t="s">
        <v>226</v>
      </c>
      <c r="D22" s="285">
        <v>0.02</v>
      </c>
      <c r="E22" s="886" t="s">
        <v>140</v>
      </c>
      <c r="F22" s="884">
        <v>6.6</v>
      </c>
      <c r="G22" s="887"/>
      <c r="H22" s="884">
        <v>1</v>
      </c>
      <c r="I22" s="285">
        <f t="shared" ref="I22:I37" si="0">D22*F22*H22</f>
        <v>0.13200000000000001</v>
      </c>
      <c r="J22" s="56"/>
      <c r="K22" s="56"/>
      <c r="L22" s="56"/>
      <c r="M22" s="56"/>
      <c r="N22" s="56"/>
      <c r="O22" s="62"/>
    </row>
    <row r="23" spans="1:15" x14ac:dyDescent="0.3">
      <c r="A23" s="72">
        <f t="shared" ref="A23:A37" si="1">A22+10</f>
        <v>20</v>
      </c>
      <c r="B23" s="288" t="s">
        <v>142</v>
      </c>
      <c r="C23" s="886" t="s">
        <v>470</v>
      </c>
      <c r="D23" s="285">
        <v>0.02</v>
      </c>
      <c r="E23" s="886" t="s">
        <v>140</v>
      </c>
      <c r="F23" s="884">
        <v>6.6</v>
      </c>
      <c r="G23" s="884"/>
      <c r="H23" s="884">
        <v>1</v>
      </c>
      <c r="I23" s="285">
        <f t="shared" si="0"/>
        <v>0.13200000000000001</v>
      </c>
      <c r="J23" s="56"/>
      <c r="K23" s="56"/>
      <c r="L23" s="56"/>
      <c r="M23" s="56"/>
      <c r="N23" s="56"/>
      <c r="O23" s="62"/>
    </row>
    <row r="24" spans="1:15" x14ac:dyDescent="0.3">
      <c r="A24" s="72">
        <f t="shared" si="1"/>
        <v>30</v>
      </c>
      <c r="B24" s="885" t="s">
        <v>469</v>
      </c>
      <c r="C24" s="883" t="s">
        <v>468</v>
      </c>
      <c r="D24" s="74">
        <v>0.02</v>
      </c>
      <c r="E24" s="883" t="s">
        <v>467</v>
      </c>
      <c r="F24" s="884">
        <v>6.6</v>
      </c>
      <c r="G24" s="883"/>
      <c r="H24" s="883">
        <v>1</v>
      </c>
      <c r="I24" s="285">
        <f t="shared" si="0"/>
        <v>0.13200000000000001</v>
      </c>
      <c r="J24" s="56"/>
      <c r="K24" s="56"/>
      <c r="L24" s="56"/>
      <c r="M24" s="56"/>
      <c r="N24" s="56"/>
      <c r="O24" s="62"/>
    </row>
    <row r="25" spans="1:15" x14ac:dyDescent="0.3">
      <c r="A25" s="72">
        <f t="shared" si="1"/>
        <v>40</v>
      </c>
      <c r="B25" s="255" t="s">
        <v>363</v>
      </c>
      <c r="C25" s="881" t="s">
        <v>466</v>
      </c>
      <c r="D25" s="74">
        <v>0.12</v>
      </c>
      <c r="E25" s="72" t="s">
        <v>35</v>
      </c>
      <c r="F25" s="72">
        <v>2</v>
      </c>
      <c r="G25" s="72"/>
      <c r="H25" s="72">
        <v>1</v>
      </c>
      <c r="I25" s="285">
        <f t="shared" si="0"/>
        <v>0.24</v>
      </c>
      <c r="J25" s="56"/>
      <c r="K25" s="56"/>
      <c r="L25" s="56"/>
      <c r="M25" s="56"/>
      <c r="N25" s="56"/>
      <c r="O25" s="62"/>
    </row>
    <row r="26" spans="1:15" x14ac:dyDescent="0.3">
      <c r="A26" s="72">
        <f t="shared" si="1"/>
        <v>50</v>
      </c>
      <c r="B26" s="255" t="s">
        <v>465</v>
      </c>
      <c r="C26" s="881" t="s">
        <v>464</v>
      </c>
      <c r="D26" s="74">
        <v>0.5</v>
      </c>
      <c r="E26" s="882" t="s">
        <v>35</v>
      </c>
      <c r="F26" s="72">
        <v>2</v>
      </c>
      <c r="G26" s="72"/>
      <c r="H26" s="72">
        <v>1</v>
      </c>
      <c r="I26" s="285">
        <f t="shared" si="0"/>
        <v>1</v>
      </c>
      <c r="J26" s="56"/>
      <c r="K26" s="56"/>
      <c r="L26" s="56"/>
      <c r="M26" s="56"/>
      <c r="N26" s="56"/>
      <c r="O26" s="62"/>
    </row>
    <row r="27" spans="1:15" x14ac:dyDescent="0.3">
      <c r="A27" s="72">
        <f t="shared" si="1"/>
        <v>60</v>
      </c>
      <c r="B27" s="255" t="s">
        <v>463</v>
      </c>
      <c r="C27" s="881" t="s">
        <v>367</v>
      </c>
      <c r="D27" s="74">
        <v>1.5</v>
      </c>
      <c r="E27" s="72" t="s">
        <v>35</v>
      </c>
      <c r="F27" s="72">
        <v>2</v>
      </c>
      <c r="G27" s="72"/>
      <c r="H27" s="72">
        <v>1</v>
      </c>
      <c r="I27" s="285">
        <f t="shared" si="0"/>
        <v>3</v>
      </c>
      <c r="J27" s="56"/>
      <c r="K27" s="56"/>
      <c r="L27" s="56"/>
      <c r="M27" s="56"/>
      <c r="N27" s="56"/>
      <c r="O27" s="62"/>
    </row>
    <row r="28" spans="1:15" x14ac:dyDescent="0.3">
      <c r="A28" s="72">
        <f t="shared" si="1"/>
        <v>70</v>
      </c>
      <c r="B28" s="255" t="s">
        <v>368</v>
      </c>
      <c r="C28" s="881" t="s">
        <v>367</v>
      </c>
      <c r="D28" s="74">
        <v>0.25</v>
      </c>
      <c r="E28" s="72" t="s">
        <v>35</v>
      </c>
      <c r="F28" s="72">
        <v>2</v>
      </c>
      <c r="G28" s="72"/>
      <c r="H28" s="72">
        <v>1</v>
      </c>
      <c r="I28" s="285">
        <f t="shared" si="0"/>
        <v>0.5</v>
      </c>
      <c r="J28" s="56"/>
      <c r="K28" s="56"/>
      <c r="L28" s="56"/>
      <c r="M28" s="56"/>
      <c r="N28" s="56"/>
      <c r="O28" s="62"/>
    </row>
    <row r="29" spans="1:15" x14ac:dyDescent="0.3">
      <c r="A29" s="72">
        <f t="shared" si="1"/>
        <v>80</v>
      </c>
      <c r="B29" s="881" t="s">
        <v>360</v>
      </c>
      <c r="C29" s="881" t="s">
        <v>462</v>
      </c>
      <c r="D29" s="880">
        <v>0.06</v>
      </c>
      <c r="E29" s="879" t="s">
        <v>35</v>
      </c>
      <c r="F29" s="879">
        <v>2</v>
      </c>
      <c r="G29" s="879"/>
      <c r="H29" s="879">
        <v>1</v>
      </c>
      <c r="I29" s="285">
        <f t="shared" si="0"/>
        <v>0.12</v>
      </c>
      <c r="J29" s="56"/>
      <c r="K29" s="56"/>
      <c r="L29" s="56"/>
      <c r="M29" s="56"/>
      <c r="N29" s="56"/>
      <c r="O29" s="62"/>
    </row>
    <row r="30" spans="1:15" x14ac:dyDescent="0.3">
      <c r="A30" s="72">
        <f t="shared" si="1"/>
        <v>90</v>
      </c>
      <c r="B30" s="881" t="s">
        <v>360</v>
      </c>
      <c r="C30" s="881" t="s">
        <v>399</v>
      </c>
      <c r="D30" s="880">
        <v>0.06</v>
      </c>
      <c r="E30" s="879" t="s">
        <v>35</v>
      </c>
      <c r="F30" s="879">
        <v>2</v>
      </c>
      <c r="G30" s="879"/>
      <c r="H30" s="879">
        <v>1</v>
      </c>
      <c r="I30" s="285">
        <f t="shared" si="0"/>
        <v>0.12</v>
      </c>
      <c r="J30" s="56"/>
      <c r="K30" s="56"/>
      <c r="L30" s="56"/>
      <c r="M30" s="56"/>
      <c r="N30" s="56"/>
      <c r="O30" s="62"/>
    </row>
    <row r="31" spans="1:15" x14ac:dyDescent="0.3">
      <c r="A31" s="72">
        <f t="shared" si="1"/>
        <v>100</v>
      </c>
      <c r="B31" s="255" t="s">
        <v>363</v>
      </c>
      <c r="C31" s="881" t="s">
        <v>461</v>
      </c>
      <c r="D31" s="880">
        <v>0.12</v>
      </c>
      <c r="E31" s="879" t="s">
        <v>35</v>
      </c>
      <c r="F31" s="879">
        <v>1</v>
      </c>
      <c r="G31" s="879"/>
      <c r="H31" s="879">
        <v>1</v>
      </c>
      <c r="I31" s="285">
        <f t="shared" si="0"/>
        <v>0.12</v>
      </c>
      <c r="J31" s="56"/>
      <c r="K31" s="56"/>
      <c r="L31" s="56"/>
      <c r="M31" s="56"/>
      <c r="N31" s="56"/>
      <c r="O31" s="62"/>
    </row>
    <row r="32" spans="1:15" x14ac:dyDescent="0.3">
      <c r="A32" s="72">
        <f t="shared" si="1"/>
        <v>110</v>
      </c>
      <c r="B32" s="879" t="s">
        <v>360</v>
      </c>
      <c r="C32" s="881" t="s">
        <v>460</v>
      </c>
      <c r="D32" s="880">
        <v>0.06</v>
      </c>
      <c r="E32" s="879" t="s">
        <v>35</v>
      </c>
      <c r="F32" s="879">
        <v>2</v>
      </c>
      <c r="G32" s="879"/>
      <c r="H32" s="879">
        <v>1</v>
      </c>
      <c r="I32" s="285">
        <f t="shared" si="0"/>
        <v>0.12</v>
      </c>
      <c r="J32" s="56"/>
      <c r="K32" s="56"/>
      <c r="L32" s="56"/>
      <c r="M32" s="56"/>
      <c r="N32" s="56"/>
      <c r="O32" s="62"/>
    </row>
    <row r="33" spans="1:15" s="17" customFormat="1" x14ac:dyDescent="0.3">
      <c r="A33" s="72">
        <f t="shared" si="1"/>
        <v>120</v>
      </c>
      <c r="B33" s="879" t="s">
        <v>360</v>
      </c>
      <c r="C33" s="881" t="s">
        <v>459</v>
      </c>
      <c r="D33" s="880">
        <v>0.06</v>
      </c>
      <c r="E33" s="879" t="s">
        <v>35</v>
      </c>
      <c r="F33" s="879">
        <v>2</v>
      </c>
      <c r="G33" s="879"/>
      <c r="H33" s="879">
        <v>1</v>
      </c>
      <c r="I33" s="285">
        <f t="shared" si="0"/>
        <v>0.12</v>
      </c>
      <c r="J33" s="57"/>
      <c r="K33" s="57"/>
      <c r="L33" s="57"/>
      <c r="M33" s="57"/>
      <c r="N33" s="57"/>
      <c r="O33" s="65"/>
    </row>
    <row r="34" spans="1:15" s="25" customFormat="1" x14ac:dyDescent="0.3">
      <c r="A34" s="72">
        <f t="shared" si="1"/>
        <v>130</v>
      </c>
      <c r="B34" s="255" t="s">
        <v>363</v>
      </c>
      <c r="C34" s="881" t="s">
        <v>458</v>
      </c>
      <c r="D34" s="880">
        <v>0.12</v>
      </c>
      <c r="E34" s="879" t="s">
        <v>35</v>
      </c>
      <c r="F34" s="879">
        <v>1</v>
      </c>
      <c r="G34" s="879"/>
      <c r="H34" s="879">
        <v>1</v>
      </c>
      <c r="I34" s="285">
        <f t="shared" si="0"/>
        <v>0.12</v>
      </c>
      <c r="J34" s="57"/>
      <c r="K34" s="57"/>
      <c r="L34" s="57"/>
      <c r="M34" s="57"/>
      <c r="N34" s="57"/>
      <c r="O34" s="68"/>
    </row>
    <row r="35" spans="1:15" s="25" customFormat="1" x14ac:dyDescent="0.3">
      <c r="A35" s="72">
        <f t="shared" si="1"/>
        <v>140</v>
      </c>
      <c r="B35" s="255" t="s">
        <v>363</v>
      </c>
      <c r="C35" s="881" t="s">
        <v>365</v>
      </c>
      <c r="D35" s="880">
        <v>0.12</v>
      </c>
      <c r="E35" s="879" t="s">
        <v>35</v>
      </c>
      <c r="F35" s="879">
        <v>2</v>
      </c>
      <c r="G35" s="879"/>
      <c r="H35" s="879">
        <v>1</v>
      </c>
      <c r="I35" s="285">
        <f t="shared" si="0"/>
        <v>0.24</v>
      </c>
      <c r="J35" s="57"/>
      <c r="K35" s="57"/>
      <c r="L35" s="57"/>
      <c r="M35" s="57"/>
      <c r="N35" s="57"/>
      <c r="O35" s="68"/>
    </row>
    <row r="36" spans="1:15" s="17" customFormat="1" ht="14.4" customHeight="1" x14ac:dyDescent="0.3">
      <c r="A36" s="72">
        <f t="shared" si="1"/>
        <v>150</v>
      </c>
      <c r="B36" s="255" t="s">
        <v>366</v>
      </c>
      <c r="C36" s="881" t="s">
        <v>367</v>
      </c>
      <c r="D36" s="880">
        <v>0.75</v>
      </c>
      <c r="E36" s="879" t="s">
        <v>35</v>
      </c>
      <c r="F36" s="879">
        <v>2</v>
      </c>
      <c r="G36" s="879"/>
      <c r="H36" s="879">
        <v>1</v>
      </c>
      <c r="I36" s="285">
        <f t="shared" si="0"/>
        <v>1.5</v>
      </c>
      <c r="J36" s="57"/>
      <c r="K36" s="57"/>
      <c r="L36" s="57"/>
      <c r="M36" s="57"/>
      <c r="N36" s="57"/>
      <c r="O36" s="65"/>
    </row>
    <row r="37" spans="1:15" s="17" customFormat="1" ht="14.4" customHeight="1" x14ac:dyDescent="0.3">
      <c r="A37" s="72">
        <f t="shared" si="1"/>
        <v>160</v>
      </c>
      <c r="B37" s="255" t="s">
        <v>368</v>
      </c>
      <c r="C37" s="881" t="s">
        <v>367</v>
      </c>
      <c r="D37" s="880">
        <v>0.25</v>
      </c>
      <c r="E37" s="879" t="s">
        <v>35</v>
      </c>
      <c r="F37" s="879">
        <v>2</v>
      </c>
      <c r="G37" s="879"/>
      <c r="H37" s="879">
        <v>1</v>
      </c>
      <c r="I37" s="285">
        <f t="shared" si="0"/>
        <v>0.5</v>
      </c>
      <c r="J37" s="57"/>
      <c r="K37" s="57"/>
      <c r="L37" s="57"/>
      <c r="M37" s="57"/>
      <c r="N37" s="57"/>
      <c r="O37" s="65"/>
    </row>
    <row r="38" spans="1:15" x14ac:dyDescent="0.3">
      <c r="A38" s="67"/>
      <c r="B38" s="24"/>
      <c r="C38" s="24"/>
      <c r="D38" s="24"/>
      <c r="E38" s="24"/>
      <c r="F38" s="24"/>
      <c r="G38" s="24"/>
      <c r="H38" s="101" t="s">
        <v>18</v>
      </c>
      <c r="I38" s="100">
        <f>SUM(I22:I37)</f>
        <v>8.0960000000000001</v>
      </c>
      <c r="J38" s="56"/>
      <c r="K38" s="56"/>
      <c r="L38" s="56"/>
      <c r="M38" s="56"/>
      <c r="N38" s="56"/>
      <c r="O38" s="62"/>
    </row>
    <row r="39" spans="1:15" x14ac:dyDescent="0.3">
      <c r="A39" s="63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62"/>
    </row>
    <row r="40" spans="1:15" x14ac:dyDescent="0.3">
      <c r="A40" s="98" t="s">
        <v>14</v>
      </c>
      <c r="B40" s="98" t="s">
        <v>36</v>
      </c>
      <c r="C40" s="98" t="s">
        <v>20</v>
      </c>
      <c r="D40" s="98" t="s">
        <v>21</v>
      </c>
      <c r="E40" s="98" t="s">
        <v>22</v>
      </c>
      <c r="F40" s="98" t="s">
        <v>23</v>
      </c>
      <c r="G40" s="98" t="s">
        <v>24</v>
      </c>
      <c r="H40" s="98" t="s">
        <v>25</v>
      </c>
      <c r="I40" s="98" t="s">
        <v>17</v>
      </c>
      <c r="J40" s="98" t="s">
        <v>18</v>
      </c>
      <c r="K40" s="56"/>
      <c r="L40" s="56"/>
      <c r="M40" s="56"/>
      <c r="N40" s="56"/>
      <c r="O40" s="62"/>
    </row>
    <row r="41" spans="1:15" x14ac:dyDescent="0.3">
      <c r="A41" s="72">
        <v>10</v>
      </c>
      <c r="B41" s="72" t="s">
        <v>369</v>
      </c>
      <c r="C41" s="72" t="s">
        <v>457</v>
      </c>
      <c r="D41" s="676">
        <f>0.8/105154*E41^2*G41*SQRT(G41)+0.003*EXP(0.319*E41)</f>
        <v>0.18547981844542938</v>
      </c>
      <c r="E41" s="677">
        <v>8</v>
      </c>
      <c r="F41" s="677" t="s">
        <v>30</v>
      </c>
      <c r="G41" s="677">
        <v>45</v>
      </c>
      <c r="H41" s="677" t="s">
        <v>30</v>
      </c>
      <c r="I41" s="82">
        <v>1</v>
      </c>
      <c r="J41" s="74">
        <f>D41*I41</f>
        <v>0.18547981844542938</v>
      </c>
      <c r="K41" s="56"/>
      <c r="L41" s="56"/>
      <c r="M41" s="56"/>
      <c r="N41" s="56"/>
      <c r="O41" s="62"/>
    </row>
    <row r="42" spans="1:15" x14ac:dyDescent="0.3">
      <c r="A42" s="72">
        <f>A41+10</f>
        <v>20</v>
      </c>
      <c r="B42" s="72" t="s">
        <v>369</v>
      </c>
      <c r="C42" s="72" t="s">
        <v>456</v>
      </c>
      <c r="D42" s="676">
        <f>0.8/105154*E42^2*G42*SQRT(G42)+0.003*EXP(0.319*E42)</f>
        <v>0.18547981844542938</v>
      </c>
      <c r="E42" s="677">
        <v>8</v>
      </c>
      <c r="F42" s="677" t="s">
        <v>30</v>
      </c>
      <c r="G42" s="677">
        <v>45</v>
      </c>
      <c r="H42" s="677" t="s">
        <v>30</v>
      </c>
      <c r="I42" s="82">
        <v>1</v>
      </c>
      <c r="J42" s="74">
        <f>D42*I42</f>
        <v>0.18547981844542938</v>
      </c>
      <c r="K42" s="56"/>
      <c r="L42" s="56"/>
      <c r="M42" s="56"/>
      <c r="N42" s="56"/>
      <c r="O42" s="62"/>
    </row>
    <row r="43" spans="1:15" x14ac:dyDescent="0.3">
      <c r="A43" s="72">
        <f>A42+10</f>
        <v>30</v>
      </c>
      <c r="B43" s="72" t="s">
        <v>371</v>
      </c>
      <c r="C43" s="72"/>
      <c r="D43" s="676">
        <v>0.01</v>
      </c>
      <c r="E43" s="72">
        <v>8</v>
      </c>
      <c r="F43" s="678" t="s">
        <v>35</v>
      </c>
      <c r="G43" s="72"/>
      <c r="H43" s="72"/>
      <c r="I43" s="82">
        <v>4</v>
      </c>
      <c r="J43" s="74">
        <f>D43*I43</f>
        <v>0.04</v>
      </c>
      <c r="K43" s="56"/>
      <c r="L43" s="56"/>
      <c r="M43" s="56"/>
      <c r="N43" s="56"/>
      <c r="O43" s="62"/>
    </row>
    <row r="44" spans="1:15" x14ac:dyDescent="0.3">
      <c r="A44" s="72">
        <f>A43+10</f>
        <v>40</v>
      </c>
      <c r="B44" s="72" t="s">
        <v>372</v>
      </c>
      <c r="C44" s="72" t="s">
        <v>455</v>
      </c>
      <c r="D44" s="676">
        <f>0.009*EXP(0.2*E44)</f>
        <v>2.9881052304628931E-2</v>
      </c>
      <c r="E44" s="72">
        <v>6</v>
      </c>
      <c r="F44" s="678" t="s">
        <v>30</v>
      </c>
      <c r="G44" s="72"/>
      <c r="H44" s="72"/>
      <c r="I44" s="82">
        <v>2</v>
      </c>
      <c r="J44" s="74">
        <f>D44*I44</f>
        <v>5.9762104609257863E-2</v>
      </c>
      <c r="K44" s="56"/>
      <c r="L44" s="56"/>
      <c r="M44" s="56"/>
      <c r="N44" s="56"/>
      <c r="O44" s="62"/>
    </row>
    <row r="45" spans="1:15" x14ac:dyDescent="0.3">
      <c r="A45" s="72">
        <f>A44+10</f>
        <v>50</v>
      </c>
      <c r="B45" s="72" t="s">
        <v>372</v>
      </c>
      <c r="C45" s="72" t="s">
        <v>454</v>
      </c>
      <c r="D45" s="676">
        <f>0.009*EXP(0.2*E45)</f>
        <v>4.4577291819556032E-2</v>
      </c>
      <c r="E45" s="72">
        <v>8</v>
      </c>
      <c r="F45" s="678" t="s">
        <v>30</v>
      </c>
      <c r="G45" s="72"/>
      <c r="H45" s="72"/>
      <c r="I45" s="82">
        <v>2</v>
      </c>
      <c r="J45" s="74">
        <f>D45*I45</f>
        <v>8.9154583639112064E-2</v>
      </c>
      <c r="K45" s="56"/>
      <c r="L45" s="56"/>
      <c r="M45" s="56"/>
      <c r="N45" s="56"/>
      <c r="O45" s="62"/>
    </row>
    <row r="46" spans="1:15" x14ac:dyDescent="0.3">
      <c r="A46" s="67"/>
      <c r="B46" s="24"/>
      <c r="C46" s="24"/>
      <c r="D46" s="24"/>
      <c r="E46" s="24"/>
      <c r="F46" s="24"/>
      <c r="G46" s="24"/>
      <c r="H46" s="24"/>
      <c r="I46" s="101" t="s">
        <v>18</v>
      </c>
      <c r="J46" s="100">
        <f>SUM(J41:J45)</f>
        <v>0.55987632513922869</v>
      </c>
      <c r="K46" s="56"/>
      <c r="L46" s="56"/>
      <c r="M46" s="56"/>
      <c r="N46" s="56"/>
      <c r="O46" s="62"/>
    </row>
    <row r="47" spans="1:15" x14ac:dyDescent="0.3">
      <c r="A47" s="63"/>
      <c r="B47" s="56"/>
      <c r="C47" s="56"/>
      <c r="D47" s="56"/>
      <c r="E47" s="56"/>
      <c r="F47" s="56"/>
      <c r="G47" s="56"/>
      <c r="H47" s="56"/>
      <c r="I47" s="56"/>
      <c r="J47" s="56"/>
      <c r="K47" s="56"/>
      <c r="L47" s="56"/>
      <c r="M47" s="56"/>
      <c r="N47" s="56"/>
      <c r="O47" s="62"/>
    </row>
    <row r="48" spans="1:15" ht="15" thickBot="1" x14ac:dyDescent="0.35">
      <c r="A48" s="69"/>
      <c r="B48" s="70"/>
      <c r="C48" s="70"/>
      <c r="D48" s="70"/>
      <c r="E48" s="70"/>
      <c r="F48" s="70"/>
      <c r="G48" s="70"/>
      <c r="H48" s="70"/>
      <c r="I48" s="70"/>
      <c r="J48" s="70"/>
      <c r="K48" s="70"/>
      <c r="L48" s="70"/>
      <c r="M48" s="70"/>
      <c r="N48" s="70"/>
      <c r="O48" s="71"/>
    </row>
    <row r="49" spans="1:14" x14ac:dyDescent="0.3">
      <c r="A49" s="56"/>
      <c r="B49" s="56"/>
      <c r="C49" s="56"/>
      <c r="D49" s="56"/>
      <c r="E49" s="56"/>
      <c r="F49" s="56"/>
      <c r="G49" s="56"/>
      <c r="H49" s="56"/>
      <c r="I49" s="56"/>
      <c r="J49" s="56"/>
      <c r="K49" s="56"/>
      <c r="L49" s="56"/>
      <c r="M49" s="56"/>
      <c r="N49" s="56"/>
    </row>
  </sheetData>
  <hyperlinks>
    <hyperlink ref="B13" location="SU_09004" display="Spacer"/>
    <hyperlink ref="B10" location="SU_09001" display="Pullrod tube"/>
    <hyperlink ref="B11" location="SU_09002" display="Pullrod insert"/>
    <hyperlink ref="B12" location="SU_09003" display="Spacer"/>
    <hyperlink ref="E2" location="SU_A09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8" max="16383" man="1"/>
  </rowBreaks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79"/>
  <sheetViews>
    <sheetView zoomScale="90" zoomScaleNormal="90" workbookViewId="0">
      <selection activeCell="F2" sqref="F2"/>
    </sheetView>
  </sheetViews>
  <sheetFormatPr baseColWidth="10" defaultRowHeight="14.4" x14ac:dyDescent="0.3"/>
  <cols>
    <col min="2" max="2" width="31.88671875" customWidth="1"/>
    <col min="3" max="3" width="16.5546875" customWidth="1"/>
    <col min="7" max="7" width="10.33203125" customWidth="1"/>
    <col min="9" max="9" width="31.6640625" customWidth="1"/>
    <col min="10" max="10" width="13.5546875" customWidth="1"/>
    <col min="15" max="15" width="6.777343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942" t="s">
        <v>0</v>
      </c>
      <c r="B2" s="16" t="s">
        <v>37</v>
      </c>
      <c r="C2" s="936"/>
      <c r="D2" s="936"/>
      <c r="E2" s="936"/>
      <c r="F2" s="88" t="s">
        <v>126</v>
      </c>
      <c r="G2" s="936"/>
      <c r="H2" s="936"/>
      <c r="I2" s="936"/>
      <c r="J2" s="915" t="s">
        <v>1</v>
      </c>
      <c r="K2" s="941">
        <v>81</v>
      </c>
      <c r="L2" s="936"/>
      <c r="M2" s="914" t="s">
        <v>16</v>
      </c>
      <c r="N2" s="939">
        <f>N12+I16</f>
        <v>9.0687098494115101</v>
      </c>
      <c r="O2" s="276"/>
    </row>
    <row r="3" spans="1:15" x14ac:dyDescent="0.3">
      <c r="A3" s="938" t="s">
        <v>3</v>
      </c>
      <c r="B3" s="16" t="str">
        <f>'SU A0900'!B3</f>
        <v>Suspension &amp; Shocks</v>
      </c>
      <c r="C3" s="936"/>
      <c r="D3" s="914" t="s">
        <v>6</v>
      </c>
      <c r="E3" s="88"/>
      <c r="F3" s="936"/>
      <c r="G3" s="936"/>
      <c r="H3" s="936"/>
      <c r="I3" s="936"/>
      <c r="J3" s="936"/>
      <c r="K3" s="936"/>
      <c r="L3" s="936"/>
      <c r="M3" s="913" t="s">
        <v>4</v>
      </c>
      <c r="N3" s="940">
        <v>1</v>
      </c>
      <c r="O3" s="276"/>
    </row>
    <row r="4" spans="1:15" x14ac:dyDescent="0.3">
      <c r="A4" s="938" t="s">
        <v>5</v>
      </c>
      <c r="B4" s="88" t="str">
        <f>'SU A0900'!B4</f>
        <v>Front Pullrod</v>
      </c>
      <c r="C4" s="936"/>
      <c r="D4" s="913" t="s">
        <v>8</v>
      </c>
      <c r="E4" s="936"/>
      <c r="F4" s="936"/>
      <c r="G4" s="936"/>
      <c r="H4" s="936"/>
      <c r="I4" s="936"/>
      <c r="J4" s="914" t="s">
        <v>6</v>
      </c>
      <c r="K4" s="936"/>
      <c r="L4" s="936"/>
      <c r="M4" s="936"/>
      <c r="N4" s="936"/>
      <c r="O4" s="276"/>
    </row>
    <row r="5" spans="1:15" x14ac:dyDescent="0.3">
      <c r="A5" s="938" t="s">
        <v>15</v>
      </c>
      <c r="B5" s="753" t="s">
        <v>496</v>
      </c>
      <c r="C5" s="936"/>
      <c r="D5" s="913" t="s">
        <v>12</v>
      </c>
      <c r="E5" s="936"/>
      <c r="F5" s="936"/>
      <c r="G5" s="936"/>
      <c r="H5" s="936"/>
      <c r="I5" s="936"/>
      <c r="J5" s="913" t="s">
        <v>8</v>
      </c>
      <c r="K5" s="936"/>
      <c r="L5" s="936"/>
      <c r="M5" s="914" t="s">
        <v>9</v>
      </c>
      <c r="N5" s="939">
        <f>N2*N3</f>
        <v>9.0687098494115101</v>
      </c>
      <c r="O5" s="276"/>
    </row>
    <row r="6" spans="1:15" x14ac:dyDescent="0.3">
      <c r="A6" s="938" t="s">
        <v>7</v>
      </c>
      <c r="B6" t="s">
        <v>494</v>
      </c>
      <c r="C6" s="936"/>
      <c r="D6" s="936"/>
      <c r="E6" s="936"/>
      <c r="F6" s="936"/>
      <c r="G6" s="936"/>
      <c r="H6" s="936"/>
      <c r="I6" s="936"/>
      <c r="J6" s="913" t="s">
        <v>12</v>
      </c>
      <c r="K6" s="936"/>
      <c r="L6" s="936"/>
      <c r="M6" s="936"/>
      <c r="N6" s="936"/>
      <c r="O6" s="276"/>
    </row>
    <row r="7" spans="1:15" x14ac:dyDescent="0.3">
      <c r="A7" s="938" t="s">
        <v>10</v>
      </c>
      <c r="B7" s="16" t="s">
        <v>11</v>
      </c>
      <c r="C7" s="936"/>
      <c r="D7" s="936"/>
      <c r="E7" s="936"/>
      <c r="F7" s="936"/>
      <c r="G7" s="936"/>
      <c r="H7" s="936"/>
      <c r="I7" s="936"/>
      <c r="J7" s="936"/>
      <c r="K7" s="936"/>
      <c r="L7" s="936"/>
      <c r="M7" s="936"/>
      <c r="N7" s="936"/>
      <c r="O7" s="276"/>
    </row>
    <row r="8" spans="1:15" x14ac:dyDescent="0.3">
      <c r="A8" s="938" t="s">
        <v>13</v>
      </c>
      <c r="B8" s="16"/>
      <c r="C8" s="936"/>
      <c r="D8" s="936"/>
      <c r="E8" s="936"/>
      <c r="F8" s="936"/>
      <c r="G8" s="936"/>
      <c r="H8" s="936"/>
      <c r="I8" s="936"/>
      <c r="J8" s="936"/>
      <c r="K8" s="936"/>
      <c r="L8" s="936"/>
      <c r="M8" s="936"/>
      <c r="N8" s="936"/>
      <c r="O8" s="276"/>
    </row>
    <row r="9" spans="1:15" x14ac:dyDescent="0.3">
      <c r="A9" s="937"/>
      <c r="B9" s="936"/>
      <c r="C9" s="936"/>
      <c r="D9" s="936"/>
      <c r="E9" s="936"/>
      <c r="F9" s="936"/>
      <c r="G9" s="936"/>
      <c r="H9" s="936"/>
      <c r="I9" s="936"/>
      <c r="J9" s="936"/>
      <c r="K9" s="936"/>
      <c r="L9" s="936"/>
      <c r="M9" s="936"/>
      <c r="N9" s="936"/>
      <c r="O9" s="276"/>
    </row>
    <row r="10" spans="1:15" x14ac:dyDescent="0.3">
      <c r="A10" s="931" t="s">
        <v>14</v>
      </c>
      <c r="B10" s="903" t="s">
        <v>19</v>
      </c>
      <c r="C10" s="903" t="s">
        <v>20</v>
      </c>
      <c r="D10" s="903" t="s">
        <v>21</v>
      </c>
      <c r="E10" s="903" t="s">
        <v>22</v>
      </c>
      <c r="F10" s="903" t="s">
        <v>23</v>
      </c>
      <c r="G10" s="903" t="s">
        <v>24</v>
      </c>
      <c r="H10" s="903" t="s">
        <v>25</v>
      </c>
      <c r="I10" s="903" t="s">
        <v>26</v>
      </c>
      <c r="J10" s="903" t="s">
        <v>27</v>
      </c>
      <c r="K10" s="903" t="s">
        <v>28</v>
      </c>
      <c r="L10" s="903" t="s">
        <v>29</v>
      </c>
      <c r="M10" s="903" t="s">
        <v>17</v>
      </c>
      <c r="N10" s="903" t="s">
        <v>18</v>
      </c>
      <c r="O10" s="276"/>
    </row>
    <row r="11" spans="1:15" ht="15" customHeight="1" x14ac:dyDescent="0.3">
      <c r="A11" s="978">
        <v>10</v>
      </c>
      <c r="B11" s="813" t="s">
        <v>482</v>
      </c>
      <c r="C11" s="912" t="s">
        <v>481</v>
      </c>
      <c r="D11" s="905">
        <v>200</v>
      </c>
      <c r="E11" s="911">
        <f>J11*K11*L11</f>
        <v>4.0305377108495605E-2</v>
      </c>
      <c r="F11" s="910" t="s">
        <v>212</v>
      </c>
      <c r="G11" s="910"/>
      <c r="H11" s="909"/>
      <c r="I11" s="908" t="s">
        <v>480</v>
      </c>
      <c r="J11" s="908">
        <f>PI()*((8*10^-3)^2-(6*10^-3)^2)</f>
        <v>8.7964594300514196E-5</v>
      </c>
      <c r="K11" s="907">
        <v>0.28999999999999998</v>
      </c>
      <c r="L11" s="906">
        <v>1580</v>
      </c>
      <c r="M11" s="906">
        <v>1</v>
      </c>
      <c r="N11" s="905">
        <f>D11*E11</f>
        <v>8.0610754216991207</v>
      </c>
      <c r="O11" s="276"/>
    </row>
    <row r="12" spans="1:15" x14ac:dyDescent="0.3">
      <c r="A12" s="922"/>
      <c r="B12" s="921"/>
      <c r="C12" s="921"/>
      <c r="D12" s="921"/>
      <c r="E12" s="921"/>
      <c r="F12" s="921"/>
      <c r="G12" s="921"/>
      <c r="H12" s="921"/>
      <c r="I12" s="921"/>
      <c r="J12" s="921"/>
      <c r="K12" s="921"/>
      <c r="L12" s="921"/>
      <c r="M12" s="898" t="s">
        <v>18</v>
      </c>
      <c r="N12" s="904">
        <f>N11</f>
        <v>8.0610754216991207</v>
      </c>
      <c r="O12" s="276"/>
    </row>
    <row r="13" spans="1:15" x14ac:dyDescent="0.3">
      <c r="A13" s="937"/>
      <c r="B13" s="936"/>
      <c r="C13" s="936"/>
      <c r="D13" s="936"/>
      <c r="E13" s="936"/>
      <c r="F13" s="936"/>
      <c r="G13" s="936"/>
      <c r="H13" s="936"/>
      <c r="I13" s="936"/>
      <c r="J13" s="936"/>
      <c r="K13" s="936"/>
      <c r="L13" s="936"/>
      <c r="M13" s="936"/>
      <c r="N13" s="936"/>
      <c r="O13" s="276"/>
    </row>
    <row r="14" spans="1:15" x14ac:dyDescent="0.3">
      <c r="A14" s="931" t="s">
        <v>14</v>
      </c>
      <c r="B14" s="903" t="s">
        <v>31</v>
      </c>
      <c r="C14" s="903" t="s">
        <v>20</v>
      </c>
      <c r="D14" s="903" t="s">
        <v>21</v>
      </c>
      <c r="E14" s="903" t="s">
        <v>32</v>
      </c>
      <c r="F14" s="903" t="s">
        <v>17</v>
      </c>
      <c r="G14" s="903" t="s">
        <v>33</v>
      </c>
      <c r="H14" s="903" t="s">
        <v>34</v>
      </c>
      <c r="I14" s="903" t="s">
        <v>18</v>
      </c>
      <c r="J14" s="921"/>
      <c r="K14" s="921"/>
      <c r="L14" s="921"/>
      <c r="M14" s="921"/>
      <c r="N14" s="921"/>
      <c r="O14" s="276"/>
    </row>
    <row r="15" spans="1:15" x14ac:dyDescent="0.3">
      <c r="A15" s="979">
        <v>10</v>
      </c>
      <c r="B15" s="255" t="s">
        <v>479</v>
      </c>
      <c r="C15" s="901" t="s">
        <v>478</v>
      </c>
      <c r="D15" s="259">
        <v>25</v>
      </c>
      <c r="E15" s="255" t="s">
        <v>212</v>
      </c>
      <c r="F15" s="900">
        <f>E11</f>
        <v>4.0305377108495605E-2</v>
      </c>
      <c r="G15" s="899"/>
      <c r="H15" s="899"/>
      <c r="I15" s="32">
        <f>D15*F15</f>
        <v>1.0076344277123901</v>
      </c>
      <c r="J15" s="936"/>
      <c r="K15" s="936"/>
      <c r="L15" s="936"/>
      <c r="M15" s="936"/>
      <c r="N15" s="936"/>
      <c r="O15" s="276"/>
    </row>
    <row r="16" spans="1:15" x14ac:dyDescent="0.3">
      <c r="A16" s="922"/>
      <c r="B16" s="921"/>
      <c r="C16" s="921"/>
      <c r="D16" s="921"/>
      <c r="E16" s="921"/>
      <c r="F16" s="921"/>
      <c r="G16" s="921"/>
      <c r="H16" s="898" t="s">
        <v>18</v>
      </c>
      <c r="I16" s="897">
        <f>I15</f>
        <v>1.0076344277123901</v>
      </c>
      <c r="J16" s="921"/>
      <c r="K16" s="921"/>
      <c r="L16" s="921"/>
      <c r="M16" s="921"/>
      <c r="N16" s="921"/>
      <c r="O16" s="276"/>
    </row>
    <row r="17" spans="1:15" ht="15" thickBot="1" x14ac:dyDescent="0.35">
      <c r="A17" s="980"/>
      <c r="B17" s="981"/>
      <c r="C17" s="981"/>
      <c r="D17" s="981"/>
      <c r="E17" s="981"/>
      <c r="F17" s="981"/>
      <c r="G17" s="981"/>
      <c r="H17" s="982"/>
      <c r="I17" s="983"/>
      <c r="J17" s="981"/>
      <c r="K17" s="981"/>
      <c r="L17" s="981"/>
      <c r="M17" s="981"/>
      <c r="N17" s="981"/>
      <c r="O17" s="298"/>
    </row>
    <row r="18" spans="1:15" x14ac:dyDescent="0.3">
      <c r="A18" s="895"/>
      <c r="B18" s="895"/>
      <c r="C18" s="895"/>
      <c r="D18" s="895"/>
      <c r="E18" s="895"/>
      <c r="F18" s="895"/>
      <c r="G18" s="895"/>
      <c r="H18" s="895"/>
      <c r="I18" s="895"/>
      <c r="J18" s="895"/>
      <c r="K18" s="895"/>
      <c r="L18" s="895"/>
      <c r="M18" s="895"/>
      <c r="N18" s="895"/>
    </row>
    <row r="19" spans="1:15" x14ac:dyDescent="0.3">
      <c r="A19" s="895"/>
      <c r="B19" s="895"/>
      <c r="C19" s="895"/>
      <c r="D19" s="895"/>
      <c r="E19" s="895"/>
      <c r="F19" s="895"/>
      <c r="G19" s="895"/>
      <c r="H19" s="895"/>
      <c r="I19" s="895"/>
      <c r="J19" s="895"/>
      <c r="K19" s="895"/>
      <c r="L19" s="895"/>
      <c r="M19" s="895"/>
      <c r="N19" s="895"/>
    </row>
    <row r="20" spans="1:15" x14ac:dyDescent="0.3">
      <c r="A20" s="895"/>
      <c r="B20" s="895"/>
      <c r="C20" s="895"/>
      <c r="D20" s="895"/>
      <c r="E20" s="895"/>
      <c r="F20" s="895"/>
      <c r="G20" s="895"/>
      <c r="H20" s="895"/>
      <c r="I20" s="895"/>
      <c r="J20" s="895"/>
      <c r="K20" s="895"/>
      <c r="L20" s="895"/>
      <c r="M20" s="895"/>
      <c r="N20" s="895"/>
    </row>
    <row r="21" spans="1:15" x14ac:dyDescent="0.3">
      <c r="A21" s="895"/>
      <c r="B21" s="895"/>
      <c r="C21" s="895"/>
      <c r="D21" s="895"/>
      <c r="E21" s="895"/>
      <c r="F21" s="895"/>
      <c r="G21" s="895"/>
      <c r="H21" s="895"/>
      <c r="I21" s="895"/>
      <c r="J21" s="895"/>
      <c r="K21" s="895"/>
      <c r="L21" s="895"/>
      <c r="M21" s="895"/>
      <c r="N21" s="895"/>
    </row>
    <row r="22" spans="1:15" x14ac:dyDescent="0.3">
      <c r="A22" s="16"/>
      <c r="B22" s="895"/>
      <c r="C22" s="895"/>
      <c r="D22" s="895"/>
      <c r="E22" s="895"/>
      <c r="F22" s="895"/>
      <c r="G22" s="895"/>
      <c r="H22" s="895"/>
      <c r="I22" s="895"/>
      <c r="J22" s="895"/>
      <c r="K22" s="895"/>
      <c r="L22" s="895"/>
      <c r="M22" s="895"/>
      <c r="N22" s="895"/>
    </row>
    <row r="23" spans="1:15" x14ac:dyDescent="0.3">
      <c r="A23" s="16"/>
      <c r="B23" s="895"/>
      <c r="C23" s="895"/>
      <c r="D23" s="895"/>
      <c r="E23" s="895"/>
      <c r="F23" s="895"/>
      <c r="G23" s="895"/>
      <c r="H23" s="895"/>
      <c r="I23" s="895"/>
      <c r="J23" s="895"/>
      <c r="K23" s="895"/>
      <c r="L23" s="895"/>
      <c r="M23" s="895"/>
      <c r="N23" s="895"/>
    </row>
    <row r="24" spans="1:15" x14ac:dyDescent="0.3">
      <c r="A24" s="88"/>
      <c r="B24" s="895"/>
      <c r="C24" s="895"/>
      <c r="D24" s="895"/>
      <c r="E24" s="895"/>
      <c r="F24" s="895"/>
      <c r="G24" s="895"/>
      <c r="H24" s="895"/>
      <c r="I24" s="895"/>
      <c r="J24" s="895"/>
      <c r="K24" s="895"/>
      <c r="L24" s="895"/>
      <c r="M24" s="895"/>
      <c r="N24" s="895"/>
    </row>
    <row r="25" spans="1:15" x14ac:dyDescent="0.3">
      <c r="A25" s="18"/>
      <c r="B25" s="895"/>
      <c r="C25" s="895"/>
      <c r="D25" s="895"/>
      <c r="E25" s="895"/>
      <c r="F25" s="895"/>
      <c r="G25" s="895"/>
      <c r="H25" s="895"/>
      <c r="I25" s="895"/>
      <c r="J25" s="895"/>
      <c r="K25" s="895"/>
      <c r="L25" s="895"/>
      <c r="M25" s="895"/>
      <c r="N25" s="895"/>
    </row>
    <row r="26" spans="1:15" x14ac:dyDescent="0.3">
      <c r="A26" s="28"/>
      <c r="B26" s="895"/>
      <c r="C26" s="895"/>
      <c r="D26" s="895"/>
      <c r="E26" s="895"/>
      <c r="F26" s="895"/>
      <c r="G26" s="895"/>
      <c r="H26" s="895"/>
      <c r="I26" s="895"/>
      <c r="J26" s="895"/>
      <c r="K26" s="895"/>
      <c r="L26" s="895"/>
      <c r="M26" s="895"/>
      <c r="N26" s="895"/>
    </row>
    <row r="27" spans="1:15" x14ac:dyDescent="0.3">
      <c r="A27" s="16"/>
      <c r="B27" s="895"/>
      <c r="C27" s="895"/>
      <c r="D27" s="895"/>
      <c r="E27" s="895"/>
      <c r="F27" s="895"/>
      <c r="G27" s="895"/>
      <c r="H27" s="895"/>
      <c r="I27" s="895"/>
      <c r="J27" s="895"/>
      <c r="K27" s="895"/>
      <c r="L27" s="895"/>
      <c r="M27" s="895"/>
      <c r="N27" s="895"/>
    </row>
    <row r="28" spans="1:15" x14ac:dyDescent="0.3">
      <c r="A28" s="16"/>
      <c r="B28" s="895"/>
      <c r="C28" s="895"/>
      <c r="D28" s="895"/>
      <c r="E28" s="895"/>
      <c r="F28" s="895"/>
      <c r="G28" s="895"/>
      <c r="H28" s="895"/>
      <c r="I28" s="895"/>
      <c r="J28" s="895"/>
      <c r="K28" s="895"/>
      <c r="L28" s="895"/>
      <c r="M28" s="895"/>
      <c r="N28" s="895"/>
    </row>
    <row r="29" spans="1:15" x14ac:dyDescent="0.3">
      <c r="A29" s="895"/>
      <c r="B29" s="895"/>
      <c r="C29" s="895"/>
      <c r="D29" s="895"/>
      <c r="E29" s="895"/>
      <c r="F29" s="895"/>
      <c r="G29" s="895"/>
      <c r="H29" s="895"/>
      <c r="I29" s="895"/>
      <c r="J29" s="895"/>
      <c r="K29" s="895"/>
      <c r="L29" s="895"/>
      <c r="M29" s="895"/>
      <c r="N29" s="895"/>
    </row>
    <row r="30" spans="1:15" x14ac:dyDescent="0.3">
      <c r="A30" s="895"/>
      <c r="B30" s="895"/>
      <c r="C30" s="895"/>
      <c r="D30" s="895"/>
      <c r="E30" s="895"/>
      <c r="F30" s="895"/>
      <c r="G30" s="895"/>
      <c r="H30" s="895"/>
      <c r="I30" s="895"/>
      <c r="J30" s="895"/>
      <c r="K30" s="895"/>
      <c r="L30" s="895"/>
      <c r="M30" s="895"/>
      <c r="N30" s="895"/>
    </row>
    <row r="31" spans="1:15" x14ac:dyDescent="0.3">
      <c r="A31" s="895"/>
      <c r="B31" s="895"/>
      <c r="C31" s="895"/>
      <c r="D31" s="895"/>
      <c r="E31" s="895"/>
      <c r="F31" s="895"/>
      <c r="G31" s="895"/>
      <c r="H31" s="895"/>
      <c r="I31" s="895"/>
      <c r="J31" s="895"/>
      <c r="K31" s="895"/>
      <c r="L31" s="895"/>
      <c r="M31" s="895"/>
      <c r="N31" s="895"/>
    </row>
    <row r="32" spans="1:15" x14ac:dyDescent="0.3">
      <c r="A32" s="895"/>
      <c r="B32" s="895"/>
      <c r="C32" s="895"/>
      <c r="D32" s="895"/>
      <c r="E32" s="895"/>
      <c r="F32" s="895"/>
      <c r="G32" s="895"/>
      <c r="H32" s="895"/>
      <c r="I32" s="895"/>
      <c r="J32" s="895"/>
      <c r="K32" s="895"/>
      <c r="L32" s="895"/>
      <c r="M32" s="895"/>
      <c r="N32" s="895"/>
    </row>
    <row r="33" spans="1:14" x14ac:dyDescent="0.3">
      <c r="A33" s="895"/>
      <c r="B33" s="895"/>
      <c r="C33" s="895"/>
      <c r="D33" s="895"/>
      <c r="E33" s="895"/>
      <c r="F33" s="895"/>
      <c r="G33" s="895"/>
      <c r="H33" s="895"/>
      <c r="I33" s="895"/>
      <c r="J33" s="895"/>
      <c r="K33" s="895"/>
      <c r="L33" s="895"/>
      <c r="M33" s="895"/>
      <c r="N33" s="895"/>
    </row>
    <row r="34" spans="1:14" x14ac:dyDescent="0.3">
      <c r="A34" s="895"/>
      <c r="B34" s="895"/>
      <c r="C34" s="895"/>
      <c r="D34" s="895"/>
      <c r="E34" s="895"/>
      <c r="F34" s="895"/>
      <c r="G34" s="895"/>
      <c r="H34" s="895"/>
      <c r="I34" s="895"/>
      <c r="J34" s="895"/>
      <c r="K34" s="895"/>
      <c r="L34" s="895"/>
      <c r="M34" s="895"/>
      <c r="N34" s="895"/>
    </row>
    <row r="35" spans="1:14" x14ac:dyDescent="0.3">
      <c r="A35" s="895"/>
      <c r="B35" s="895"/>
      <c r="C35" s="895"/>
      <c r="D35" s="895"/>
      <c r="E35" s="895"/>
      <c r="F35" s="895"/>
      <c r="G35" s="895"/>
      <c r="H35" s="895"/>
      <c r="I35" s="895"/>
      <c r="J35" s="895"/>
      <c r="K35" s="895"/>
      <c r="L35" s="895"/>
      <c r="M35" s="895"/>
      <c r="N35" s="895"/>
    </row>
    <row r="36" spans="1:14" x14ac:dyDescent="0.3">
      <c r="A36" s="895"/>
      <c r="B36" s="895"/>
      <c r="C36" s="895"/>
      <c r="D36" s="895"/>
      <c r="E36" s="895"/>
      <c r="F36" s="895"/>
      <c r="G36" s="895"/>
      <c r="H36" s="895"/>
      <c r="I36" s="895"/>
      <c r="J36" s="895"/>
      <c r="K36" s="895"/>
      <c r="L36" s="895"/>
      <c r="M36" s="895"/>
      <c r="N36" s="895"/>
    </row>
    <row r="37" spans="1:14" x14ac:dyDescent="0.3">
      <c r="A37" s="895"/>
      <c r="B37" s="895"/>
      <c r="C37" s="895"/>
      <c r="D37" s="895"/>
      <c r="E37" s="895"/>
      <c r="F37" s="895"/>
      <c r="G37" s="895"/>
      <c r="H37" s="895"/>
      <c r="I37" s="895"/>
      <c r="J37" s="895"/>
      <c r="K37" s="895"/>
      <c r="L37" s="895"/>
      <c r="M37" s="895"/>
      <c r="N37" s="895"/>
    </row>
    <row r="38" spans="1:14" x14ac:dyDescent="0.3">
      <c r="A38" s="895"/>
      <c r="B38" s="895"/>
      <c r="C38" s="895"/>
      <c r="D38" s="895"/>
      <c r="E38" s="895"/>
      <c r="F38" s="895"/>
      <c r="G38" s="895"/>
      <c r="H38" s="895"/>
      <c r="I38" s="895"/>
      <c r="J38" s="895"/>
      <c r="K38" s="895"/>
      <c r="L38" s="895"/>
      <c r="M38" s="895"/>
      <c r="N38" s="895"/>
    </row>
    <row r="39" spans="1:14" x14ac:dyDescent="0.3">
      <c r="A39" s="895"/>
      <c r="B39" s="895"/>
      <c r="C39" s="895"/>
      <c r="D39" s="895"/>
      <c r="E39" s="895"/>
      <c r="F39" s="895"/>
      <c r="G39" s="895"/>
      <c r="H39" s="895"/>
      <c r="I39" s="895"/>
      <c r="J39" s="895"/>
      <c r="K39" s="895"/>
      <c r="L39" s="895"/>
      <c r="M39" s="895"/>
      <c r="N39" s="895"/>
    </row>
    <row r="40" spans="1:14" x14ac:dyDescent="0.3">
      <c r="A40" s="895"/>
      <c r="B40" s="895"/>
      <c r="C40" s="895"/>
      <c r="D40" s="895"/>
      <c r="E40" s="895"/>
      <c r="F40" s="895"/>
      <c r="G40" s="895"/>
      <c r="H40" s="895"/>
      <c r="I40" s="895"/>
      <c r="J40" s="895"/>
      <c r="K40" s="895"/>
      <c r="L40" s="895"/>
      <c r="M40" s="895"/>
      <c r="N40" s="895"/>
    </row>
    <row r="41" spans="1:14" x14ac:dyDescent="0.3">
      <c r="A41" s="895"/>
      <c r="B41" s="895"/>
      <c r="C41" s="895"/>
      <c r="D41" s="895"/>
      <c r="E41" s="895"/>
      <c r="F41" s="895"/>
      <c r="G41" s="895"/>
      <c r="H41" s="895"/>
      <c r="I41" s="895"/>
      <c r="J41" s="895"/>
      <c r="K41" s="895"/>
      <c r="L41" s="895"/>
      <c r="M41" s="895"/>
      <c r="N41" s="895"/>
    </row>
    <row r="42" spans="1:14" x14ac:dyDescent="0.3">
      <c r="A42" s="895"/>
      <c r="B42" s="895"/>
      <c r="C42" s="895"/>
      <c r="D42" s="895"/>
      <c r="E42" s="895"/>
      <c r="F42" s="895"/>
      <c r="G42" s="895"/>
      <c r="H42" s="895"/>
      <c r="I42" s="895"/>
      <c r="J42" s="895"/>
      <c r="K42" s="895"/>
      <c r="L42" s="895"/>
      <c r="M42" s="895"/>
      <c r="N42" s="895"/>
    </row>
    <row r="43" spans="1:14" x14ac:dyDescent="0.3">
      <c r="A43" s="895"/>
      <c r="B43" s="895"/>
      <c r="C43" s="895"/>
      <c r="D43" s="895"/>
      <c r="E43" s="895"/>
      <c r="F43" s="895"/>
      <c r="G43" s="895"/>
      <c r="H43" s="895"/>
      <c r="I43" s="895"/>
      <c r="J43" s="895"/>
      <c r="K43" s="895"/>
      <c r="L43" s="895"/>
      <c r="M43" s="895"/>
      <c r="N43" s="895"/>
    </row>
    <row r="44" spans="1:14" x14ac:dyDescent="0.3">
      <c r="A44" s="895"/>
      <c r="B44" s="895"/>
      <c r="C44" s="895"/>
      <c r="D44" s="895"/>
      <c r="E44" s="895"/>
      <c r="F44" s="895"/>
      <c r="G44" s="895"/>
      <c r="H44" s="895"/>
      <c r="I44" s="895"/>
      <c r="J44" s="895"/>
      <c r="K44" s="895"/>
      <c r="L44" s="895"/>
      <c r="M44" s="895"/>
      <c r="N44" s="895"/>
    </row>
    <row r="45" spans="1:14" x14ac:dyDescent="0.3">
      <c r="A45" s="895"/>
      <c r="B45" s="895"/>
      <c r="C45" s="895"/>
      <c r="D45" s="895"/>
      <c r="E45" s="895"/>
      <c r="F45" s="895"/>
      <c r="G45" s="895"/>
      <c r="H45" s="895"/>
      <c r="I45" s="895"/>
      <c r="J45" s="895"/>
      <c r="K45" s="895"/>
      <c r="L45" s="895"/>
      <c r="M45" s="895"/>
      <c r="N45" s="895"/>
    </row>
    <row r="46" spans="1:14" x14ac:dyDescent="0.3">
      <c r="A46" s="895"/>
      <c r="B46" s="895"/>
      <c r="C46" s="895"/>
      <c r="D46" s="895"/>
      <c r="E46" s="895"/>
      <c r="F46" s="895"/>
      <c r="G46" s="895"/>
      <c r="H46" s="895"/>
      <c r="I46" s="895"/>
      <c r="J46" s="895"/>
      <c r="K46" s="895"/>
      <c r="L46" s="895"/>
      <c r="M46" s="895"/>
      <c r="N46" s="895"/>
    </row>
    <row r="47" spans="1:14" x14ac:dyDescent="0.3">
      <c r="A47" s="895"/>
      <c r="B47" s="895"/>
      <c r="C47" s="895"/>
      <c r="D47" s="895"/>
      <c r="E47" s="895"/>
      <c r="F47" s="895"/>
      <c r="G47" s="895"/>
      <c r="H47" s="895"/>
      <c r="I47" s="895"/>
      <c r="J47" s="895"/>
      <c r="K47" s="895"/>
      <c r="L47" s="895"/>
      <c r="M47" s="895"/>
      <c r="N47" s="895"/>
    </row>
    <row r="48" spans="1:14" x14ac:dyDescent="0.3">
      <c r="A48" s="895"/>
      <c r="B48" s="895"/>
      <c r="C48" s="895"/>
      <c r="D48" s="895"/>
      <c r="E48" s="895"/>
      <c r="F48" s="895"/>
      <c r="G48" s="895"/>
      <c r="H48" s="895"/>
      <c r="I48" s="895"/>
      <c r="J48" s="895"/>
      <c r="K48" s="895"/>
      <c r="L48" s="895"/>
      <c r="M48" s="895"/>
      <c r="N48" s="895"/>
    </row>
    <row r="49" spans="1:14" x14ac:dyDescent="0.3">
      <c r="A49" s="895"/>
      <c r="B49" s="895"/>
      <c r="C49" s="895"/>
      <c r="D49" s="895"/>
      <c r="E49" s="895"/>
      <c r="F49" s="895"/>
      <c r="G49" s="895"/>
      <c r="H49" s="895"/>
      <c r="I49" s="895"/>
      <c r="J49" s="895"/>
      <c r="K49" s="895"/>
      <c r="L49" s="895"/>
      <c r="M49" s="895"/>
      <c r="N49" s="895"/>
    </row>
    <row r="50" spans="1:14" x14ac:dyDescent="0.3">
      <c r="A50" s="895"/>
      <c r="B50" s="895"/>
      <c r="C50" s="895"/>
      <c r="D50" s="895"/>
      <c r="E50" s="895"/>
      <c r="F50" s="895"/>
      <c r="G50" s="895"/>
      <c r="H50" s="895"/>
      <c r="I50" s="895"/>
      <c r="J50" s="895"/>
      <c r="K50" s="895"/>
      <c r="L50" s="895"/>
      <c r="M50" s="895"/>
      <c r="N50" s="895"/>
    </row>
    <row r="51" spans="1:14" x14ac:dyDescent="0.3">
      <c r="A51" s="895"/>
      <c r="B51" s="895"/>
      <c r="C51" s="895"/>
      <c r="D51" s="895"/>
      <c r="E51" s="895"/>
      <c r="F51" s="895"/>
      <c r="G51" s="895"/>
      <c r="H51" s="895"/>
      <c r="I51" s="895"/>
      <c r="J51" s="895"/>
      <c r="K51" s="895"/>
      <c r="L51" s="895"/>
      <c r="M51" s="895"/>
      <c r="N51" s="895"/>
    </row>
    <row r="52" spans="1:14" x14ac:dyDescent="0.3">
      <c r="A52" s="895"/>
      <c r="B52" s="895"/>
      <c r="C52" s="895"/>
      <c r="D52" s="895"/>
      <c r="E52" s="895"/>
      <c r="F52" s="895"/>
      <c r="G52" s="895"/>
      <c r="H52" s="895"/>
      <c r="I52" s="895"/>
      <c r="J52" s="895"/>
      <c r="K52" s="895"/>
      <c r="L52" s="895"/>
      <c r="M52" s="895"/>
      <c r="N52" s="895"/>
    </row>
    <row r="53" spans="1:14" x14ac:dyDescent="0.3">
      <c r="A53" s="895"/>
      <c r="B53" s="895"/>
      <c r="C53" s="895"/>
      <c r="D53" s="895"/>
      <c r="E53" s="895"/>
      <c r="F53" s="895"/>
      <c r="G53" s="895"/>
      <c r="H53" s="895"/>
      <c r="I53" s="895"/>
      <c r="J53" s="895"/>
      <c r="K53" s="895"/>
      <c r="L53" s="895"/>
      <c r="M53" s="895"/>
      <c r="N53" s="895"/>
    </row>
    <row r="54" spans="1:14" x14ac:dyDescent="0.3">
      <c r="A54" s="895"/>
      <c r="B54" s="895"/>
      <c r="C54" s="895"/>
      <c r="D54" s="895"/>
      <c r="E54" s="895"/>
      <c r="F54" s="895"/>
      <c r="G54" s="895"/>
      <c r="H54" s="895"/>
      <c r="I54" s="895"/>
      <c r="J54" s="895"/>
      <c r="K54" s="895"/>
      <c r="L54" s="895"/>
      <c r="M54" s="895"/>
      <c r="N54" s="895"/>
    </row>
    <row r="55" spans="1:14" x14ac:dyDescent="0.3">
      <c r="A55" s="895"/>
      <c r="B55" s="895"/>
      <c r="C55" s="895"/>
      <c r="D55" s="895"/>
      <c r="E55" s="895"/>
      <c r="F55" s="895"/>
      <c r="G55" s="895"/>
      <c r="H55" s="895"/>
      <c r="I55" s="895"/>
      <c r="J55" s="895"/>
      <c r="K55" s="895"/>
      <c r="L55" s="895"/>
      <c r="M55" s="895"/>
      <c r="N55" s="895"/>
    </row>
    <row r="56" spans="1:14" x14ac:dyDescent="0.3">
      <c r="A56" s="895"/>
      <c r="B56" s="895"/>
      <c r="C56" s="895"/>
      <c r="D56" s="895"/>
      <c r="E56" s="895"/>
      <c r="F56" s="895"/>
      <c r="G56" s="895"/>
      <c r="H56" s="895"/>
      <c r="I56" s="895"/>
      <c r="J56" s="895"/>
      <c r="K56" s="895"/>
      <c r="L56" s="895"/>
      <c r="M56" s="895"/>
      <c r="N56" s="895"/>
    </row>
    <row r="57" spans="1:14" x14ac:dyDescent="0.3">
      <c r="A57" s="895"/>
      <c r="B57" s="895"/>
      <c r="C57" s="895"/>
      <c r="D57" s="895"/>
      <c r="E57" s="895"/>
      <c r="F57" s="895"/>
      <c r="G57" s="895"/>
      <c r="H57" s="895"/>
      <c r="I57" s="895"/>
      <c r="J57" s="895"/>
      <c r="K57" s="895"/>
      <c r="L57" s="895"/>
      <c r="M57" s="895"/>
      <c r="N57" s="895"/>
    </row>
    <row r="58" spans="1:14" x14ac:dyDescent="0.3">
      <c r="A58" s="895"/>
      <c r="B58" s="895"/>
      <c r="C58" s="895"/>
      <c r="D58" s="895"/>
      <c r="E58" s="895"/>
      <c r="F58" s="895"/>
      <c r="G58" s="895"/>
      <c r="H58" s="895"/>
      <c r="I58" s="895"/>
      <c r="J58" s="895"/>
      <c r="K58" s="895"/>
      <c r="L58" s="895"/>
      <c r="M58" s="895"/>
      <c r="N58" s="895"/>
    </row>
    <row r="59" spans="1:14" x14ac:dyDescent="0.3">
      <c r="A59" s="895"/>
      <c r="B59" s="895"/>
      <c r="C59" s="895"/>
      <c r="D59" s="895"/>
      <c r="E59" s="895"/>
      <c r="F59" s="895"/>
      <c r="G59" s="895"/>
      <c r="H59" s="895"/>
      <c r="I59" s="895"/>
      <c r="J59" s="895"/>
      <c r="K59" s="895"/>
      <c r="L59" s="895"/>
      <c r="M59" s="895"/>
      <c r="N59" s="895"/>
    </row>
    <row r="60" spans="1:14" x14ac:dyDescent="0.3">
      <c r="A60" s="895"/>
      <c r="B60" s="895"/>
      <c r="C60" s="895"/>
      <c r="D60" s="895"/>
      <c r="E60" s="895"/>
      <c r="F60" s="895"/>
      <c r="G60" s="895"/>
      <c r="H60" s="895"/>
      <c r="I60" s="895"/>
      <c r="J60" s="895"/>
      <c r="K60" s="895"/>
      <c r="L60" s="895"/>
      <c r="M60" s="895"/>
      <c r="N60" s="895"/>
    </row>
    <row r="61" spans="1:14" x14ac:dyDescent="0.3">
      <c r="A61" s="895"/>
      <c r="B61" s="895"/>
      <c r="C61" s="895"/>
      <c r="D61" s="895"/>
      <c r="E61" s="895"/>
      <c r="F61" s="895"/>
      <c r="G61" s="895"/>
      <c r="H61" s="895"/>
      <c r="I61" s="895"/>
      <c r="J61" s="895"/>
      <c r="K61" s="895"/>
      <c r="L61" s="895"/>
      <c r="M61" s="895"/>
      <c r="N61" s="895"/>
    </row>
    <row r="62" spans="1:14" x14ac:dyDescent="0.3">
      <c r="A62" s="895"/>
      <c r="B62" s="895"/>
      <c r="C62" s="895"/>
      <c r="D62" s="895"/>
      <c r="E62" s="895"/>
      <c r="F62" s="895"/>
      <c r="G62" s="895"/>
      <c r="H62" s="895"/>
      <c r="I62" s="895"/>
      <c r="J62" s="895"/>
      <c r="K62" s="895"/>
      <c r="L62" s="895"/>
      <c r="M62" s="895"/>
      <c r="N62" s="895"/>
    </row>
    <row r="63" spans="1:14" x14ac:dyDescent="0.3">
      <c r="A63" s="895"/>
      <c r="B63" s="895"/>
      <c r="C63" s="895"/>
      <c r="D63" s="895"/>
      <c r="E63" s="895"/>
      <c r="F63" s="895"/>
      <c r="G63" s="895"/>
      <c r="H63" s="895"/>
      <c r="I63" s="895"/>
      <c r="J63" s="895"/>
      <c r="K63" s="895"/>
      <c r="L63" s="895"/>
      <c r="M63" s="895"/>
      <c r="N63" s="895"/>
    </row>
    <row r="64" spans="1:14" x14ac:dyDescent="0.3">
      <c r="A64" s="895"/>
      <c r="B64" s="895"/>
      <c r="C64" s="895"/>
      <c r="D64" s="895"/>
      <c r="E64" s="895"/>
      <c r="F64" s="895"/>
      <c r="G64" s="895"/>
      <c r="H64" s="895"/>
      <c r="I64" s="895"/>
      <c r="J64" s="895"/>
      <c r="K64" s="895"/>
      <c r="L64" s="895"/>
      <c r="M64" s="895"/>
      <c r="N64" s="895"/>
    </row>
    <row r="65" spans="1:14" x14ac:dyDescent="0.3">
      <c r="A65" s="895"/>
      <c r="B65" s="895"/>
      <c r="C65" s="895"/>
      <c r="D65" s="895"/>
      <c r="E65" s="895"/>
      <c r="F65" s="895"/>
      <c r="G65" s="895"/>
      <c r="H65" s="895"/>
      <c r="I65" s="895"/>
      <c r="J65" s="895"/>
      <c r="K65" s="895"/>
      <c r="L65" s="895"/>
      <c r="M65" s="895"/>
      <c r="N65" s="895"/>
    </row>
    <row r="66" spans="1:14" x14ac:dyDescent="0.3">
      <c r="A66" s="895"/>
      <c r="B66" s="895"/>
      <c r="C66" s="895"/>
      <c r="D66" s="895"/>
      <c r="E66" s="895"/>
      <c r="F66" s="895"/>
      <c r="G66" s="895"/>
      <c r="H66" s="895"/>
      <c r="I66" s="895"/>
      <c r="J66" s="895"/>
      <c r="K66" s="895"/>
      <c r="L66" s="895"/>
      <c r="M66" s="895"/>
      <c r="N66" s="895"/>
    </row>
    <row r="67" spans="1:14" x14ac:dyDescent="0.3">
      <c r="A67" s="895"/>
      <c r="B67" s="895"/>
      <c r="C67" s="895"/>
      <c r="D67" s="895"/>
      <c r="E67" s="895"/>
      <c r="F67" s="895"/>
      <c r="G67" s="895"/>
      <c r="H67" s="895"/>
      <c r="I67" s="895"/>
      <c r="J67" s="895"/>
      <c r="K67" s="895"/>
      <c r="L67" s="895"/>
      <c r="M67" s="895"/>
      <c r="N67" s="895"/>
    </row>
    <row r="68" spans="1:14" x14ac:dyDescent="0.3">
      <c r="A68" s="895"/>
      <c r="B68" s="895"/>
      <c r="C68" s="895"/>
      <c r="D68" s="895"/>
      <c r="E68" s="895"/>
      <c r="F68" s="895"/>
      <c r="G68" s="895"/>
      <c r="H68" s="895"/>
      <c r="I68" s="895"/>
      <c r="J68" s="895"/>
      <c r="K68" s="895"/>
      <c r="L68" s="895"/>
      <c r="M68" s="895"/>
      <c r="N68" s="895"/>
    </row>
    <row r="69" spans="1:14" x14ac:dyDescent="0.3">
      <c r="A69" s="895"/>
      <c r="B69" s="895"/>
      <c r="C69" s="895"/>
      <c r="D69" s="895"/>
      <c r="E69" s="895"/>
      <c r="F69" s="895"/>
      <c r="G69" s="895"/>
      <c r="H69" s="895"/>
      <c r="I69" s="895"/>
      <c r="J69" s="895"/>
      <c r="K69" s="895"/>
      <c r="L69" s="895"/>
      <c r="M69" s="895"/>
      <c r="N69" s="895"/>
    </row>
    <row r="70" spans="1:14" x14ac:dyDescent="0.3">
      <c r="A70" s="895"/>
      <c r="B70" s="895"/>
      <c r="C70" s="895"/>
      <c r="D70" s="895"/>
      <c r="E70" s="895"/>
      <c r="F70" s="895"/>
      <c r="G70" s="895"/>
      <c r="H70" s="895"/>
      <c r="I70" s="895"/>
      <c r="J70" s="895"/>
      <c r="K70" s="895"/>
      <c r="L70" s="895"/>
      <c r="M70" s="895"/>
      <c r="N70" s="895"/>
    </row>
    <row r="71" spans="1:14" x14ac:dyDescent="0.3">
      <c r="A71" s="895"/>
      <c r="B71" s="895"/>
      <c r="C71" s="895"/>
      <c r="D71" s="895"/>
      <c r="E71" s="895"/>
      <c r="F71" s="895"/>
      <c r="G71" s="895"/>
      <c r="H71" s="895"/>
      <c r="I71" s="895"/>
      <c r="J71" s="895"/>
      <c r="K71" s="895"/>
      <c r="L71" s="895"/>
      <c r="M71" s="895"/>
      <c r="N71" s="895"/>
    </row>
    <row r="72" spans="1:14" x14ac:dyDescent="0.3">
      <c r="A72" s="895"/>
      <c r="B72" s="895"/>
      <c r="C72" s="895"/>
      <c r="D72" s="895"/>
      <c r="E72" s="895"/>
      <c r="F72" s="895"/>
      <c r="G72" s="895"/>
      <c r="H72" s="895"/>
      <c r="I72" s="895"/>
      <c r="J72" s="895"/>
      <c r="K72" s="895"/>
      <c r="L72" s="895"/>
      <c r="M72" s="895"/>
      <c r="N72" s="895"/>
    </row>
    <row r="73" spans="1:14" x14ac:dyDescent="0.3">
      <c r="A73" s="895"/>
      <c r="B73" s="895"/>
      <c r="C73" s="895"/>
      <c r="D73" s="895"/>
      <c r="E73" s="895"/>
      <c r="F73" s="895"/>
      <c r="G73" s="895"/>
      <c r="H73" s="895"/>
      <c r="I73" s="895"/>
      <c r="J73" s="895"/>
      <c r="K73" s="895"/>
      <c r="L73" s="895"/>
      <c r="M73" s="895"/>
      <c r="N73" s="895"/>
    </row>
    <row r="74" spans="1:14" x14ac:dyDescent="0.3">
      <c r="A74" s="895"/>
      <c r="B74" s="895"/>
      <c r="C74" s="895"/>
      <c r="D74" s="895"/>
      <c r="E74" s="895"/>
      <c r="F74" s="895"/>
      <c r="G74" s="895"/>
      <c r="H74" s="895"/>
      <c r="I74" s="895"/>
      <c r="J74" s="895"/>
      <c r="K74" s="895"/>
      <c r="L74" s="895"/>
      <c r="M74" s="895"/>
      <c r="N74" s="895"/>
    </row>
    <row r="75" spans="1:14" x14ac:dyDescent="0.3">
      <c r="A75" s="895"/>
      <c r="B75" s="895"/>
      <c r="C75" s="895"/>
      <c r="D75" s="895"/>
      <c r="E75" s="895"/>
      <c r="F75" s="895"/>
      <c r="G75" s="895"/>
      <c r="H75" s="895"/>
      <c r="I75" s="895"/>
      <c r="J75" s="895"/>
      <c r="K75" s="895"/>
      <c r="L75" s="895"/>
      <c r="M75" s="895"/>
      <c r="N75" s="895"/>
    </row>
    <row r="76" spans="1:14" x14ac:dyDescent="0.3">
      <c r="A76" s="895"/>
      <c r="B76" s="895"/>
      <c r="C76" s="895"/>
      <c r="D76" s="895"/>
      <c r="E76" s="895"/>
      <c r="F76" s="895"/>
      <c r="G76" s="895"/>
      <c r="H76" s="895"/>
      <c r="I76" s="895"/>
      <c r="J76" s="895"/>
      <c r="K76" s="895"/>
      <c r="L76" s="895"/>
      <c r="M76" s="895"/>
      <c r="N76" s="895"/>
    </row>
    <row r="77" spans="1:14" x14ac:dyDescent="0.3">
      <c r="A77" s="895"/>
      <c r="B77" s="895"/>
      <c r="C77" s="895"/>
      <c r="D77" s="895"/>
      <c r="E77" s="895"/>
      <c r="F77" s="895"/>
      <c r="G77" s="895"/>
      <c r="H77" s="895"/>
      <c r="I77" s="895"/>
      <c r="J77" s="895"/>
      <c r="K77" s="895"/>
      <c r="L77" s="895"/>
      <c r="M77" s="895"/>
      <c r="N77" s="895"/>
    </row>
    <row r="78" spans="1:14" x14ac:dyDescent="0.3">
      <c r="A78" s="895"/>
      <c r="B78" s="895"/>
      <c r="C78" s="895"/>
      <c r="D78" s="895"/>
      <c r="E78" s="895"/>
      <c r="F78" s="895"/>
      <c r="G78" s="895"/>
      <c r="H78" s="895"/>
      <c r="I78" s="895"/>
      <c r="J78" s="895"/>
      <c r="K78" s="895"/>
      <c r="L78" s="895"/>
      <c r="M78" s="895"/>
      <c r="N78" s="895"/>
    </row>
    <row r="79" spans="1:14" x14ac:dyDescent="0.3">
      <c r="A79" s="895"/>
      <c r="B79" s="895"/>
      <c r="C79" s="895"/>
      <c r="D79" s="895"/>
      <c r="E79" s="895"/>
      <c r="F79" s="895"/>
      <c r="G79" s="895"/>
      <c r="H79" s="895"/>
      <c r="I79" s="895"/>
      <c r="J79" s="895"/>
      <c r="K79" s="895"/>
      <c r="L79" s="895"/>
      <c r="M79" s="895"/>
      <c r="N79" s="895"/>
    </row>
    <row r="80" spans="1:14" x14ac:dyDescent="0.3">
      <c r="A80" s="895"/>
      <c r="B80" s="895"/>
      <c r="C80" s="895"/>
      <c r="D80" s="895"/>
      <c r="E80" s="895"/>
      <c r="F80" s="895"/>
      <c r="G80" s="895"/>
      <c r="H80" s="895"/>
      <c r="I80" s="895"/>
      <c r="J80" s="895"/>
      <c r="K80" s="895"/>
      <c r="L80" s="895"/>
      <c r="M80" s="895"/>
      <c r="N80" s="895"/>
    </row>
    <row r="81" spans="1:14" x14ac:dyDescent="0.3">
      <c r="A81" s="895"/>
      <c r="B81" s="895"/>
      <c r="C81" s="895"/>
      <c r="D81" s="895"/>
      <c r="E81" s="895"/>
      <c r="F81" s="895"/>
      <c r="G81" s="895"/>
      <c r="H81" s="895"/>
      <c r="I81" s="895"/>
      <c r="J81" s="895"/>
      <c r="K81" s="895"/>
      <c r="L81" s="895"/>
      <c r="M81" s="895"/>
      <c r="N81" s="895"/>
    </row>
    <row r="82" spans="1:14" x14ac:dyDescent="0.3">
      <c r="A82" s="895"/>
      <c r="B82" s="895"/>
      <c r="C82" s="895"/>
      <c r="D82" s="895"/>
      <c r="E82" s="895"/>
      <c r="F82" s="895"/>
      <c r="G82" s="895"/>
      <c r="H82" s="895"/>
      <c r="I82" s="895"/>
      <c r="J82" s="895"/>
      <c r="K82" s="895"/>
      <c r="L82" s="895"/>
      <c r="M82" s="895"/>
      <c r="N82" s="895"/>
    </row>
    <row r="83" spans="1:14" x14ac:dyDescent="0.3">
      <c r="A83" s="895"/>
      <c r="B83" s="895"/>
      <c r="C83" s="895"/>
      <c r="D83" s="895"/>
      <c r="E83" s="895"/>
      <c r="F83" s="895"/>
      <c r="G83" s="895"/>
      <c r="H83" s="895"/>
      <c r="I83" s="895"/>
      <c r="J83" s="895"/>
      <c r="K83" s="895"/>
      <c r="L83" s="895"/>
      <c r="M83" s="895"/>
      <c r="N83" s="895"/>
    </row>
    <row r="84" spans="1:14" x14ac:dyDescent="0.3">
      <c r="A84" s="895"/>
      <c r="B84" s="895"/>
      <c r="C84" s="895"/>
      <c r="D84" s="895"/>
      <c r="E84" s="895"/>
      <c r="F84" s="895"/>
      <c r="G84" s="895"/>
      <c r="H84" s="895"/>
      <c r="I84" s="895"/>
      <c r="J84" s="895"/>
      <c r="K84" s="895"/>
      <c r="L84" s="895"/>
      <c r="M84" s="895"/>
      <c r="N84" s="895"/>
    </row>
    <row r="85" spans="1:14" x14ac:dyDescent="0.3">
      <c r="A85" s="895"/>
      <c r="B85" s="895"/>
      <c r="C85" s="895"/>
      <c r="D85" s="895"/>
      <c r="E85" s="895"/>
      <c r="F85" s="895"/>
      <c r="G85" s="895"/>
      <c r="H85" s="895"/>
      <c r="I85" s="895"/>
      <c r="J85" s="895"/>
      <c r="K85" s="895"/>
      <c r="L85" s="895"/>
      <c r="M85" s="895"/>
      <c r="N85" s="895"/>
    </row>
    <row r="86" spans="1:14" x14ac:dyDescent="0.3">
      <c r="A86" s="895"/>
      <c r="B86" s="895"/>
      <c r="C86" s="895"/>
      <c r="D86" s="895"/>
      <c r="E86" s="895"/>
      <c r="F86" s="895"/>
      <c r="G86" s="895"/>
      <c r="H86" s="895"/>
      <c r="I86" s="895"/>
      <c r="J86" s="895"/>
      <c r="K86" s="895"/>
      <c r="L86" s="895"/>
      <c r="M86" s="895"/>
      <c r="N86" s="895"/>
    </row>
    <row r="87" spans="1:14" x14ac:dyDescent="0.3">
      <c r="A87" s="895"/>
      <c r="B87" s="895"/>
      <c r="C87" s="895"/>
      <c r="D87" s="895"/>
      <c r="E87" s="895"/>
      <c r="F87" s="895"/>
      <c r="G87" s="895"/>
      <c r="H87" s="895"/>
      <c r="I87" s="895"/>
      <c r="J87" s="895"/>
      <c r="K87" s="895"/>
      <c r="L87" s="895"/>
      <c r="M87" s="895"/>
      <c r="N87" s="895"/>
    </row>
    <row r="88" spans="1:14" x14ac:dyDescent="0.3">
      <c r="A88" s="895"/>
      <c r="B88" s="895"/>
      <c r="C88" s="895"/>
      <c r="D88" s="895"/>
      <c r="E88" s="895"/>
      <c r="F88" s="895"/>
      <c r="G88" s="895"/>
      <c r="H88" s="895"/>
      <c r="I88" s="895"/>
      <c r="J88" s="895"/>
      <c r="K88" s="895"/>
      <c r="L88" s="895"/>
      <c r="M88" s="895"/>
      <c r="N88" s="895"/>
    </row>
    <row r="89" spans="1:14" x14ac:dyDescent="0.3">
      <c r="A89" s="895"/>
      <c r="B89" s="895"/>
      <c r="C89" s="895"/>
      <c r="D89" s="895"/>
      <c r="E89" s="895"/>
      <c r="F89" s="895"/>
      <c r="G89" s="895"/>
      <c r="H89" s="895"/>
      <c r="I89" s="895"/>
      <c r="J89" s="895"/>
      <c r="K89" s="895"/>
      <c r="L89" s="895"/>
      <c r="M89" s="895"/>
      <c r="N89" s="895"/>
    </row>
    <row r="90" spans="1:14" x14ac:dyDescent="0.3">
      <c r="A90" s="895"/>
      <c r="B90" s="895"/>
      <c r="C90" s="895"/>
      <c r="D90" s="895"/>
      <c r="E90" s="895"/>
      <c r="F90" s="895"/>
      <c r="G90" s="895"/>
      <c r="H90" s="895"/>
      <c r="I90" s="895"/>
      <c r="J90" s="895"/>
      <c r="K90" s="895"/>
      <c r="L90" s="895"/>
      <c r="M90" s="895"/>
      <c r="N90" s="895"/>
    </row>
    <row r="91" spans="1:14" x14ac:dyDescent="0.3">
      <c r="A91" s="895"/>
      <c r="B91" s="895"/>
      <c r="C91" s="895"/>
      <c r="D91" s="895"/>
      <c r="E91" s="895"/>
      <c r="F91" s="895"/>
      <c r="G91" s="895"/>
      <c r="H91" s="895"/>
      <c r="I91" s="895"/>
      <c r="J91" s="895"/>
      <c r="K91" s="895"/>
      <c r="L91" s="895"/>
      <c r="M91" s="895"/>
      <c r="N91" s="895"/>
    </row>
    <row r="92" spans="1:14" x14ac:dyDescent="0.3">
      <c r="A92" s="895"/>
      <c r="B92" s="895"/>
      <c r="C92" s="895"/>
      <c r="D92" s="895"/>
      <c r="E92" s="895"/>
      <c r="F92" s="895"/>
      <c r="G92" s="895"/>
      <c r="H92" s="895"/>
      <c r="I92" s="895"/>
      <c r="J92" s="895"/>
      <c r="K92" s="895"/>
      <c r="L92" s="895"/>
      <c r="M92" s="895"/>
      <c r="N92" s="895"/>
    </row>
    <row r="93" spans="1:14" x14ac:dyDescent="0.3">
      <c r="A93" s="895"/>
      <c r="B93" s="895"/>
      <c r="C93" s="895"/>
      <c r="D93" s="895"/>
      <c r="E93" s="895"/>
      <c r="F93" s="895"/>
      <c r="G93" s="895"/>
      <c r="H93" s="895"/>
      <c r="I93" s="895"/>
      <c r="J93" s="895"/>
      <c r="K93" s="895"/>
      <c r="L93" s="895"/>
      <c r="M93" s="895"/>
      <c r="N93" s="895"/>
    </row>
    <row r="94" spans="1:14" x14ac:dyDescent="0.3">
      <c r="A94" s="895"/>
      <c r="B94" s="895"/>
      <c r="C94" s="895"/>
      <c r="D94" s="895"/>
      <c r="E94" s="895"/>
      <c r="F94" s="895"/>
      <c r="G94" s="895"/>
      <c r="H94" s="895"/>
      <c r="I94" s="895"/>
      <c r="J94" s="895"/>
      <c r="K94" s="895"/>
      <c r="L94" s="895"/>
      <c r="M94" s="895"/>
      <c r="N94" s="895"/>
    </row>
    <row r="95" spans="1:14" x14ac:dyDescent="0.3">
      <c r="A95" s="895"/>
      <c r="B95" s="895"/>
      <c r="C95" s="895"/>
      <c r="D95" s="895"/>
      <c r="E95" s="895"/>
      <c r="F95" s="895"/>
      <c r="G95" s="895"/>
      <c r="H95" s="895"/>
      <c r="I95" s="895"/>
      <c r="J95" s="895"/>
      <c r="K95" s="895"/>
      <c r="L95" s="895"/>
      <c r="M95" s="895"/>
      <c r="N95" s="895"/>
    </row>
    <row r="96" spans="1:14" x14ac:dyDescent="0.3">
      <c r="A96" s="895"/>
      <c r="B96" s="895"/>
      <c r="C96" s="895"/>
      <c r="D96" s="895"/>
      <c r="E96" s="895"/>
      <c r="F96" s="895"/>
      <c r="G96" s="895"/>
      <c r="H96" s="895"/>
      <c r="I96" s="895"/>
      <c r="J96" s="895"/>
      <c r="K96" s="895"/>
      <c r="L96" s="895"/>
      <c r="M96" s="895"/>
      <c r="N96" s="895"/>
    </row>
    <row r="97" spans="1:14" x14ac:dyDescent="0.3">
      <c r="A97" s="895"/>
      <c r="B97" s="895"/>
      <c r="C97" s="895"/>
      <c r="D97" s="895"/>
      <c r="E97" s="895"/>
      <c r="F97" s="895"/>
      <c r="G97" s="895"/>
      <c r="H97" s="895"/>
      <c r="I97" s="895"/>
      <c r="J97" s="895"/>
      <c r="K97" s="895"/>
      <c r="L97" s="895"/>
      <c r="M97" s="895"/>
      <c r="N97" s="895"/>
    </row>
    <row r="98" spans="1:14" x14ac:dyDescent="0.3">
      <c r="A98" s="895"/>
      <c r="B98" s="895"/>
      <c r="C98" s="895"/>
      <c r="D98" s="895"/>
      <c r="E98" s="895"/>
      <c r="F98" s="895"/>
      <c r="G98" s="895"/>
      <c r="H98" s="895"/>
      <c r="I98" s="895"/>
      <c r="J98" s="895"/>
      <c r="K98" s="895"/>
      <c r="L98" s="895"/>
      <c r="M98" s="895"/>
      <c r="N98" s="895"/>
    </row>
    <row r="99" spans="1:14" x14ac:dyDescent="0.3">
      <c r="A99" s="895"/>
      <c r="B99" s="895"/>
      <c r="C99" s="895"/>
      <c r="D99" s="895"/>
      <c r="E99" s="895"/>
      <c r="F99" s="895"/>
      <c r="G99" s="895"/>
      <c r="H99" s="895"/>
      <c r="I99" s="895"/>
      <c r="J99" s="895"/>
      <c r="K99" s="895"/>
      <c r="L99" s="895"/>
      <c r="M99" s="895"/>
      <c r="N99" s="895"/>
    </row>
    <row r="100" spans="1:14" x14ac:dyDescent="0.3">
      <c r="A100" s="895"/>
      <c r="B100" s="895"/>
      <c r="C100" s="895"/>
      <c r="D100" s="895"/>
      <c r="E100" s="895"/>
      <c r="F100" s="895"/>
      <c r="G100" s="895"/>
      <c r="H100" s="895"/>
      <c r="I100" s="895"/>
      <c r="J100" s="895"/>
      <c r="K100" s="895"/>
      <c r="L100" s="895"/>
      <c r="M100" s="895"/>
      <c r="N100" s="895"/>
    </row>
    <row r="101" spans="1:14" x14ac:dyDescent="0.3">
      <c r="A101" s="895"/>
      <c r="B101" s="895"/>
      <c r="C101" s="895"/>
      <c r="D101" s="895"/>
      <c r="E101" s="895"/>
      <c r="F101" s="895"/>
      <c r="G101" s="895"/>
      <c r="H101" s="895"/>
      <c r="I101" s="895"/>
      <c r="J101" s="895"/>
      <c r="K101" s="895"/>
      <c r="L101" s="895"/>
      <c r="M101" s="895"/>
      <c r="N101" s="895"/>
    </row>
    <row r="102" spans="1:14" x14ac:dyDescent="0.3">
      <c r="A102" s="895"/>
      <c r="B102" s="895"/>
      <c r="C102" s="895"/>
      <c r="D102" s="895"/>
      <c r="E102" s="895"/>
      <c r="F102" s="895"/>
      <c r="G102" s="895"/>
      <c r="H102" s="895"/>
      <c r="I102" s="895"/>
      <c r="J102" s="895"/>
      <c r="K102" s="895"/>
      <c r="L102" s="895"/>
      <c r="M102" s="895"/>
      <c r="N102" s="895"/>
    </row>
    <row r="103" spans="1:14" x14ac:dyDescent="0.3">
      <c r="A103" s="895"/>
      <c r="B103" s="895"/>
      <c r="C103" s="895"/>
      <c r="D103" s="895"/>
      <c r="E103" s="895"/>
      <c r="F103" s="895"/>
      <c r="G103" s="895"/>
      <c r="H103" s="895"/>
      <c r="I103" s="895"/>
      <c r="J103" s="895"/>
      <c r="K103" s="895"/>
      <c r="L103" s="895"/>
      <c r="M103" s="895"/>
      <c r="N103" s="895"/>
    </row>
    <row r="104" spans="1:14" x14ac:dyDescent="0.3">
      <c r="A104" s="895"/>
      <c r="B104" s="895"/>
      <c r="C104" s="895"/>
      <c r="D104" s="895"/>
      <c r="E104" s="895"/>
      <c r="F104" s="895"/>
      <c r="G104" s="895"/>
      <c r="H104" s="895"/>
      <c r="I104" s="895"/>
      <c r="J104" s="895"/>
      <c r="K104" s="895"/>
      <c r="L104" s="895"/>
      <c r="M104" s="895"/>
      <c r="N104" s="895"/>
    </row>
    <row r="105" spans="1:14" x14ac:dyDescent="0.3">
      <c r="A105" s="895"/>
      <c r="B105" s="895"/>
      <c r="C105" s="895"/>
      <c r="D105" s="895"/>
      <c r="E105" s="895"/>
      <c r="F105" s="895"/>
      <c r="G105" s="895"/>
      <c r="H105" s="895"/>
      <c r="I105" s="895"/>
      <c r="J105" s="895"/>
      <c r="K105" s="895"/>
      <c r="L105" s="895"/>
      <c r="M105" s="895"/>
      <c r="N105" s="895"/>
    </row>
    <row r="106" spans="1:14" x14ac:dyDescent="0.3">
      <c r="A106" s="895"/>
      <c r="B106" s="895"/>
      <c r="C106" s="895"/>
      <c r="D106" s="895"/>
      <c r="E106" s="895"/>
      <c r="F106" s="895"/>
      <c r="G106" s="895"/>
      <c r="H106" s="895"/>
      <c r="I106" s="895"/>
      <c r="J106" s="895"/>
      <c r="K106" s="895"/>
      <c r="L106" s="895"/>
      <c r="M106" s="895"/>
      <c r="N106" s="895"/>
    </row>
    <row r="107" spans="1:14" x14ac:dyDescent="0.3">
      <c r="A107" s="895"/>
      <c r="B107" s="895"/>
      <c r="C107" s="895"/>
      <c r="D107" s="895"/>
      <c r="E107" s="895"/>
      <c r="F107" s="895"/>
      <c r="G107" s="895"/>
      <c r="H107" s="895"/>
      <c r="I107" s="895"/>
      <c r="J107" s="895"/>
      <c r="K107" s="895"/>
      <c r="L107" s="895"/>
      <c r="M107" s="895"/>
      <c r="N107" s="895"/>
    </row>
    <row r="108" spans="1:14" x14ac:dyDescent="0.3">
      <c r="A108" s="895"/>
      <c r="B108" s="895"/>
      <c r="C108" s="895"/>
      <c r="D108" s="895"/>
      <c r="E108" s="895"/>
      <c r="F108" s="895"/>
      <c r="G108" s="895"/>
      <c r="H108" s="895"/>
      <c r="I108" s="895"/>
      <c r="J108" s="895"/>
      <c r="K108" s="895"/>
      <c r="L108" s="895"/>
      <c r="M108" s="895"/>
      <c r="N108" s="895"/>
    </row>
    <row r="109" spans="1:14" x14ac:dyDescent="0.3">
      <c r="A109" s="895"/>
      <c r="B109" s="895"/>
      <c r="C109" s="895"/>
      <c r="D109" s="895"/>
      <c r="E109" s="895"/>
      <c r="F109" s="895"/>
      <c r="G109" s="895"/>
      <c r="H109" s="895"/>
      <c r="I109" s="895"/>
      <c r="J109" s="895"/>
      <c r="K109" s="895"/>
      <c r="L109" s="895"/>
      <c r="M109" s="895"/>
      <c r="N109" s="895"/>
    </row>
    <row r="110" spans="1:14" x14ac:dyDescent="0.3">
      <c r="A110" s="895"/>
      <c r="B110" s="895"/>
      <c r="C110" s="895"/>
      <c r="D110" s="895"/>
      <c r="E110" s="895"/>
      <c r="F110" s="895"/>
      <c r="G110" s="895"/>
      <c r="H110" s="895"/>
      <c r="I110" s="895"/>
      <c r="J110" s="895"/>
      <c r="K110" s="895"/>
      <c r="L110" s="895"/>
      <c r="M110" s="895"/>
      <c r="N110" s="895"/>
    </row>
    <row r="111" spans="1:14" x14ac:dyDescent="0.3">
      <c r="A111" s="895"/>
      <c r="B111" s="895"/>
      <c r="C111" s="895"/>
      <c r="D111" s="895"/>
      <c r="E111" s="895"/>
      <c r="F111" s="895"/>
      <c r="G111" s="895"/>
      <c r="H111" s="895"/>
      <c r="I111" s="895"/>
      <c r="J111" s="895"/>
      <c r="K111" s="895"/>
      <c r="L111" s="895"/>
      <c r="M111" s="895"/>
      <c r="N111" s="895"/>
    </row>
    <row r="112" spans="1:14" x14ac:dyDescent="0.3">
      <c r="A112" s="895"/>
      <c r="B112" s="895"/>
      <c r="C112" s="895"/>
      <c r="D112" s="895"/>
      <c r="E112" s="895"/>
      <c r="F112" s="895"/>
      <c r="G112" s="895"/>
      <c r="H112" s="895"/>
      <c r="I112" s="895"/>
      <c r="J112" s="895"/>
      <c r="K112" s="895"/>
      <c r="L112" s="895"/>
      <c r="M112" s="895"/>
      <c r="N112" s="895"/>
    </row>
    <row r="113" spans="1:14" x14ac:dyDescent="0.3">
      <c r="A113" s="895"/>
      <c r="B113" s="895"/>
      <c r="C113" s="895"/>
      <c r="D113" s="895"/>
      <c r="E113" s="895"/>
      <c r="F113" s="895"/>
      <c r="G113" s="895"/>
      <c r="H113" s="895"/>
      <c r="I113" s="895"/>
      <c r="J113" s="895"/>
      <c r="K113" s="895"/>
      <c r="L113" s="895"/>
      <c r="M113" s="895"/>
      <c r="N113" s="895"/>
    </row>
    <row r="114" spans="1:14" x14ac:dyDescent="0.3">
      <c r="A114" s="895"/>
      <c r="B114" s="895"/>
      <c r="C114" s="895"/>
      <c r="D114" s="895"/>
      <c r="E114" s="895"/>
      <c r="F114" s="895"/>
      <c r="G114" s="895"/>
      <c r="H114" s="895"/>
      <c r="I114" s="895"/>
      <c r="J114" s="895"/>
      <c r="K114" s="895"/>
      <c r="L114" s="895"/>
      <c r="M114" s="895"/>
      <c r="N114" s="895"/>
    </row>
    <row r="115" spans="1:14" x14ac:dyDescent="0.3">
      <c r="A115" s="895"/>
      <c r="B115" s="895"/>
      <c r="C115" s="895"/>
      <c r="D115" s="895"/>
      <c r="E115" s="895"/>
      <c r="F115" s="895"/>
      <c r="G115" s="895"/>
      <c r="H115" s="895"/>
      <c r="I115" s="895"/>
      <c r="J115" s="895"/>
      <c r="K115" s="895"/>
      <c r="L115" s="895"/>
      <c r="M115" s="895"/>
      <c r="N115" s="895"/>
    </row>
    <row r="116" spans="1:14" x14ac:dyDescent="0.3">
      <c r="A116" s="895"/>
      <c r="B116" s="895"/>
      <c r="C116" s="895"/>
      <c r="D116" s="895"/>
      <c r="E116" s="895"/>
      <c r="F116" s="895"/>
      <c r="G116" s="895"/>
      <c r="H116" s="895"/>
      <c r="I116" s="895"/>
      <c r="J116" s="895"/>
      <c r="K116" s="895"/>
      <c r="L116" s="895"/>
      <c r="M116" s="895"/>
      <c r="N116" s="895"/>
    </row>
    <row r="117" spans="1:14" x14ac:dyDescent="0.3">
      <c r="A117" s="895"/>
      <c r="B117" s="895"/>
      <c r="C117" s="895"/>
      <c r="D117" s="895"/>
      <c r="E117" s="895"/>
      <c r="F117" s="895"/>
      <c r="G117" s="895"/>
      <c r="H117" s="895"/>
      <c r="I117" s="895"/>
      <c r="J117" s="895"/>
      <c r="K117" s="895"/>
      <c r="L117" s="895"/>
      <c r="M117" s="895"/>
      <c r="N117" s="895"/>
    </row>
    <row r="118" spans="1:14" x14ac:dyDescent="0.3">
      <c r="A118" s="895"/>
      <c r="B118" s="895"/>
      <c r="C118" s="895"/>
      <c r="D118" s="895"/>
      <c r="E118" s="895"/>
      <c r="F118" s="895"/>
      <c r="G118" s="895"/>
      <c r="H118" s="895"/>
      <c r="I118" s="895"/>
      <c r="J118" s="895"/>
      <c r="K118" s="895"/>
      <c r="L118" s="895"/>
      <c r="M118" s="895"/>
      <c r="N118" s="895"/>
    </row>
    <row r="119" spans="1:14" x14ac:dyDescent="0.3">
      <c r="A119" s="895"/>
      <c r="B119" s="895"/>
      <c r="C119" s="895"/>
      <c r="D119" s="895"/>
      <c r="E119" s="895"/>
      <c r="F119" s="895"/>
      <c r="G119" s="895"/>
      <c r="H119" s="895"/>
      <c r="I119" s="895"/>
      <c r="J119" s="895"/>
      <c r="K119" s="895"/>
      <c r="L119" s="895"/>
      <c r="M119" s="895"/>
      <c r="N119" s="895"/>
    </row>
    <row r="120" spans="1:14" x14ac:dyDescent="0.3">
      <c r="A120" s="895"/>
      <c r="B120" s="895"/>
      <c r="C120" s="895"/>
      <c r="D120" s="895"/>
      <c r="E120" s="895"/>
      <c r="F120" s="895"/>
      <c r="G120" s="895"/>
      <c r="H120" s="895"/>
      <c r="I120" s="895"/>
      <c r="J120" s="895"/>
      <c r="K120" s="895"/>
      <c r="L120" s="895"/>
      <c r="M120" s="895"/>
      <c r="N120" s="895"/>
    </row>
    <row r="121" spans="1:14" x14ac:dyDescent="0.3">
      <c r="A121" s="895"/>
      <c r="B121" s="895"/>
      <c r="C121" s="895"/>
      <c r="D121" s="895"/>
      <c r="E121" s="895"/>
      <c r="F121" s="895"/>
      <c r="G121" s="895"/>
      <c r="H121" s="895"/>
      <c r="I121" s="895"/>
      <c r="J121" s="895"/>
      <c r="K121" s="895"/>
      <c r="L121" s="895"/>
      <c r="M121" s="895"/>
      <c r="N121" s="895"/>
    </row>
    <row r="122" spans="1:14" x14ac:dyDescent="0.3">
      <c r="A122" s="895"/>
      <c r="B122" s="895"/>
      <c r="C122" s="895"/>
      <c r="D122" s="895"/>
      <c r="E122" s="895"/>
      <c r="F122" s="895"/>
      <c r="G122" s="895"/>
      <c r="H122" s="895"/>
      <c r="I122" s="895"/>
      <c r="J122" s="895"/>
      <c r="K122" s="895"/>
      <c r="L122" s="895"/>
      <c r="M122" s="895"/>
      <c r="N122" s="895"/>
    </row>
    <row r="123" spans="1:14" x14ac:dyDescent="0.3">
      <c r="A123" s="895"/>
      <c r="B123" s="895"/>
      <c r="C123" s="895"/>
      <c r="D123" s="895"/>
      <c r="E123" s="895"/>
      <c r="F123" s="895"/>
      <c r="G123" s="895"/>
      <c r="H123" s="895"/>
      <c r="I123" s="895"/>
      <c r="J123" s="895"/>
      <c r="K123" s="895"/>
      <c r="L123" s="895"/>
      <c r="M123" s="895"/>
      <c r="N123" s="895"/>
    </row>
    <row r="124" spans="1:14" x14ac:dyDescent="0.3">
      <c r="A124" s="895"/>
      <c r="B124" s="895"/>
      <c r="C124" s="895"/>
      <c r="D124" s="895"/>
      <c r="E124" s="895"/>
      <c r="F124" s="895"/>
      <c r="G124" s="895"/>
      <c r="H124" s="895"/>
      <c r="I124" s="895"/>
      <c r="J124" s="895"/>
      <c r="K124" s="895"/>
      <c r="L124" s="895"/>
      <c r="M124" s="895"/>
      <c r="N124" s="895"/>
    </row>
    <row r="125" spans="1:14" x14ac:dyDescent="0.3">
      <c r="A125" s="895"/>
      <c r="B125" s="895"/>
      <c r="C125" s="895"/>
      <c r="D125" s="895"/>
      <c r="E125" s="895"/>
      <c r="F125" s="895"/>
      <c r="G125" s="895"/>
      <c r="H125" s="895"/>
      <c r="I125" s="895"/>
      <c r="J125" s="895"/>
      <c r="K125" s="895"/>
      <c r="L125" s="895"/>
      <c r="M125" s="895"/>
      <c r="N125" s="895"/>
    </row>
    <row r="126" spans="1:14" x14ac:dyDescent="0.3">
      <c r="A126" s="895"/>
      <c r="B126" s="895"/>
      <c r="C126" s="895"/>
      <c r="D126" s="895"/>
      <c r="E126" s="895"/>
      <c r="F126" s="895"/>
      <c r="G126" s="895"/>
      <c r="H126" s="895"/>
      <c r="I126" s="895"/>
      <c r="J126" s="895"/>
      <c r="K126" s="895"/>
      <c r="L126" s="895"/>
      <c r="M126" s="895"/>
      <c r="N126" s="895"/>
    </row>
    <row r="127" spans="1:14" x14ac:dyDescent="0.3">
      <c r="A127" s="895"/>
      <c r="B127" s="895"/>
      <c r="C127" s="895"/>
      <c r="D127" s="895"/>
      <c r="E127" s="895"/>
      <c r="F127" s="895"/>
      <c r="G127" s="895"/>
      <c r="H127" s="895"/>
      <c r="I127" s="895"/>
      <c r="J127" s="895"/>
      <c r="K127" s="895"/>
      <c r="L127" s="895"/>
      <c r="M127" s="895"/>
      <c r="N127" s="895"/>
    </row>
    <row r="128" spans="1:14" x14ac:dyDescent="0.3">
      <c r="A128" s="895"/>
      <c r="B128" s="895"/>
      <c r="C128" s="895"/>
      <c r="D128" s="895"/>
      <c r="E128" s="895"/>
      <c r="F128" s="895"/>
      <c r="G128" s="895"/>
      <c r="H128" s="895"/>
      <c r="I128" s="895"/>
      <c r="J128" s="895"/>
      <c r="K128" s="895"/>
      <c r="L128" s="895"/>
      <c r="M128" s="895"/>
      <c r="N128" s="895"/>
    </row>
    <row r="129" spans="1:14" x14ac:dyDescent="0.3">
      <c r="A129" s="895"/>
      <c r="B129" s="895"/>
      <c r="C129" s="895"/>
      <c r="D129" s="895"/>
      <c r="E129" s="895"/>
      <c r="F129" s="895"/>
      <c r="G129" s="895"/>
      <c r="H129" s="895"/>
      <c r="I129" s="895"/>
      <c r="J129" s="895"/>
      <c r="K129" s="895"/>
      <c r="L129" s="895"/>
      <c r="M129" s="895"/>
      <c r="N129" s="895"/>
    </row>
    <row r="130" spans="1:14" x14ac:dyDescent="0.3">
      <c r="A130" s="895"/>
      <c r="B130" s="895"/>
      <c r="C130" s="895"/>
      <c r="D130" s="895"/>
      <c r="E130" s="895"/>
      <c r="F130" s="895"/>
      <c r="G130" s="895"/>
      <c r="H130" s="895"/>
      <c r="I130" s="895"/>
      <c r="J130" s="895"/>
      <c r="K130" s="895"/>
      <c r="L130" s="895"/>
      <c r="M130" s="895"/>
      <c r="N130" s="895"/>
    </row>
    <row r="131" spans="1:14" x14ac:dyDescent="0.3">
      <c r="A131" s="895"/>
      <c r="B131" s="895"/>
      <c r="C131" s="895"/>
      <c r="D131" s="895"/>
      <c r="E131" s="895"/>
      <c r="F131" s="895"/>
      <c r="G131" s="895"/>
      <c r="H131" s="895"/>
      <c r="I131" s="895"/>
      <c r="J131" s="895"/>
      <c r="K131" s="895"/>
      <c r="L131" s="895"/>
      <c r="M131" s="895"/>
      <c r="N131" s="895"/>
    </row>
    <row r="132" spans="1:14" x14ac:dyDescent="0.3">
      <c r="A132" s="895"/>
      <c r="B132" s="895"/>
      <c r="C132" s="895"/>
      <c r="D132" s="895"/>
      <c r="E132" s="895"/>
      <c r="F132" s="895"/>
      <c r="G132" s="895"/>
      <c r="H132" s="895"/>
      <c r="I132" s="895"/>
      <c r="J132" s="895"/>
      <c r="K132" s="895"/>
      <c r="L132" s="895"/>
      <c r="M132" s="895"/>
      <c r="N132" s="895"/>
    </row>
    <row r="133" spans="1:14" x14ac:dyDescent="0.3">
      <c r="A133" s="895"/>
      <c r="B133" s="895"/>
      <c r="C133" s="895"/>
      <c r="D133" s="895"/>
      <c r="E133" s="895"/>
      <c r="F133" s="895"/>
      <c r="G133" s="895"/>
      <c r="H133" s="895"/>
      <c r="I133" s="895"/>
      <c r="J133" s="895"/>
      <c r="K133" s="895"/>
      <c r="L133" s="895"/>
      <c r="M133" s="895"/>
      <c r="N133" s="895"/>
    </row>
    <row r="134" spans="1:14" x14ac:dyDescent="0.3">
      <c r="A134" s="895"/>
      <c r="B134" s="895"/>
      <c r="C134" s="895"/>
      <c r="D134" s="895"/>
      <c r="E134" s="895"/>
      <c r="F134" s="895"/>
      <c r="G134" s="895"/>
      <c r="H134" s="895"/>
      <c r="I134" s="895"/>
      <c r="J134" s="895"/>
      <c r="K134" s="895"/>
      <c r="L134" s="895"/>
      <c r="M134" s="895"/>
      <c r="N134" s="895"/>
    </row>
    <row r="135" spans="1:14" x14ac:dyDescent="0.3">
      <c r="A135" s="895"/>
      <c r="B135" s="895"/>
      <c r="C135" s="895"/>
      <c r="D135" s="895"/>
      <c r="E135" s="895"/>
      <c r="F135" s="895"/>
      <c r="G135" s="895"/>
      <c r="H135" s="895"/>
      <c r="I135" s="895"/>
      <c r="J135" s="895"/>
      <c r="K135" s="895"/>
      <c r="L135" s="895"/>
      <c r="M135" s="895"/>
      <c r="N135" s="895"/>
    </row>
    <row r="136" spans="1:14" x14ac:dyDescent="0.3">
      <c r="A136" s="895"/>
      <c r="B136" s="895"/>
      <c r="C136" s="895"/>
      <c r="D136" s="895"/>
      <c r="E136" s="895"/>
      <c r="F136" s="895"/>
      <c r="G136" s="895"/>
      <c r="H136" s="895"/>
      <c r="I136" s="895"/>
      <c r="J136" s="895"/>
      <c r="K136" s="895"/>
      <c r="L136" s="895"/>
      <c r="M136" s="895"/>
      <c r="N136" s="895"/>
    </row>
    <row r="137" spans="1:14" x14ac:dyDescent="0.3">
      <c r="A137" s="895"/>
      <c r="B137" s="895"/>
      <c r="C137" s="895"/>
      <c r="D137" s="895"/>
      <c r="E137" s="895"/>
      <c r="F137" s="895"/>
      <c r="G137" s="895"/>
      <c r="H137" s="895"/>
      <c r="I137" s="895"/>
      <c r="J137" s="895"/>
      <c r="K137" s="895"/>
      <c r="L137" s="895"/>
      <c r="M137" s="895"/>
      <c r="N137" s="895"/>
    </row>
    <row r="138" spans="1:14" x14ac:dyDescent="0.3">
      <c r="A138" s="895"/>
      <c r="B138" s="895"/>
      <c r="C138" s="895"/>
      <c r="D138" s="895"/>
      <c r="E138" s="895"/>
      <c r="F138" s="895"/>
      <c r="G138" s="895"/>
      <c r="H138" s="895"/>
      <c r="I138" s="895"/>
      <c r="J138" s="895"/>
      <c r="K138" s="895"/>
      <c r="L138" s="895"/>
      <c r="M138" s="895"/>
      <c r="N138" s="895"/>
    </row>
    <row r="139" spans="1:14" x14ac:dyDescent="0.3">
      <c r="A139" s="895"/>
      <c r="B139" s="895"/>
      <c r="C139" s="895"/>
      <c r="D139" s="895"/>
      <c r="E139" s="895"/>
      <c r="F139" s="895"/>
      <c r="G139" s="895"/>
      <c r="H139" s="895"/>
      <c r="I139" s="895"/>
      <c r="J139" s="895"/>
      <c r="K139" s="895"/>
      <c r="L139" s="895"/>
      <c r="M139" s="895"/>
      <c r="N139" s="895"/>
    </row>
    <row r="140" spans="1:14" x14ac:dyDescent="0.3">
      <c r="A140" s="895"/>
      <c r="B140" s="895"/>
      <c r="C140" s="895"/>
      <c r="D140" s="895"/>
      <c r="E140" s="895"/>
      <c r="F140" s="895"/>
      <c r="G140" s="895"/>
      <c r="H140" s="895"/>
      <c r="I140" s="895"/>
      <c r="J140" s="895"/>
      <c r="K140" s="895"/>
      <c r="L140" s="895"/>
      <c r="M140" s="895"/>
      <c r="N140" s="895"/>
    </row>
    <row r="141" spans="1:14" x14ac:dyDescent="0.3">
      <c r="A141" s="895"/>
      <c r="B141" s="895"/>
      <c r="C141" s="895"/>
      <c r="D141" s="895"/>
      <c r="E141" s="895"/>
      <c r="F141" s="895"/>
      <c r="G141" s="895"/>
      <c r="H141" s="895"/>
      <c r="I141" s="895"/>
      <c r="J141" s="895"/>
      <c r="K141" s="895"/>
      <c r="L141" s="895"/>
      <c r="M141" s="895"/>
      <c r="N141" s="895"/>
    </row>
    <row r="142" spans="1:14" x14ac:dyDescent="0.3">
      <c r="A142" s="895"/>
      <c r="B142" s="895"/>
      <c r="C142" s="895"/>
      <c r="D142" s="895"/>
      <c r="E142" s="895"/>
      <c r="F142" s="895"/>
      <c r="G142" s="895"/>
      <c r="H142" s="895"/>
      <c r="I142" s="895"/>
      <c r="J142" s="895"/>
      <c r="K142" s="895"/>
      <c r="L142" s="895"/>
      <c r="M142" s="895"/>
      <c r="N142" s="895"/>
    </row>
    <row r="143" spans="1:14" x14ac:dyDescent="0.3">
      <c r="A143" s="895"/>
      <c r="B143" s="895"/>
      <c r="C143" s="895"/>
      <c r="D143" s="895"/>
      <c r="E143" s="895"/>
      <c r="F143" s="895"/>
      <c r="G143" s="895"/>
      <c r="H143" s="895"/>
      <c r="I143" s="895"/>
      <c r="J143" s="895"/>
      <c r="K143" s="895"/>
      <c r="L143" s="895"/>
      <c r="M143" s="895"/>
      <c r="N143" s="895"/>
    </row>
    <row r="144" spans="1:14" x14ac:dyDescent="0.3">
      <c r="A144" s="895"/>
      <c r="B144" s="895"/>
      <c r="C144" s="895"/>
      <c r="D144" s="895"/>
      <c r="E144" s="895"/>
      <c r="F144" s="895"/>
      <c r="G144" s="895"/>
      <c r="H144" s="895"/>
      <c r="I144" s="895"/>
      <c r="J144" s="895"/>
      <c r="K144" s="895"/>
      <c r="L144" s="895"/>
      <c r="M144" s="895"/>
      <c r="N144" s="895"/>
    </row>
    <row r="145" spans="1:14" x14ac:dyDescent="0.3">
      <c r="A145" s="895"/>
      <c r="B145" s="895"/>
      <c r="C145" s="895"/>
      <c r="D145" s="895"/>
      <c r="E145" s="895"/>
      <c r="F145" s="895"/>
      <c r="G145" s="895"/>
      <c r="H145" s="895"/>
      <c r="I145" s="895"/>
      <c r="J145" s="895"/>
      <c r="K145" s="895"/>
      <c r="L145" s="895"/>
      <c r="M145" s="895"/>
      <c r="N145" s="895"/>
    </row>
    <row r="146" spans="1:14" x14ac:dyDescent="0.3">
      <c r="A146" s="895"/>
      <c r="B146" s="895"/>
      <c r="C146" s="895"/>
      <c r="D146" s="895"/>
      <c r="E146" s="895"/>
      <c r="F146" s="895"/>
      <c r="G146" s="895"/>
      <c r="H146" s="895"/>
      <c r="I146" s="895"/>
      <c r="J146" s="895"/>
      <c r="K146" s="895"/>
      <c r="L146" s="895"/>
      <c r="M146" s="895"/>
      <c r="N146" s="895"/>
    </row>
    <row r="147" spans="1:14" x14ac:dyDescent="0.3">
      <c r="A147" s="895"/>
      <c r="B147" s="895"/>
      <c r="C147" s="895"/>
      <c r="D147" s="895"/>
      <c r="E147" s="895"/>
      <c r="F147" s="895"/>
      <c r="G147" s="895"/>
      <c r="H147" s="895"/>
      <c r="I147" s="895"/>
      <c r="J147" s="895"/>
      <c r="K147" s="895"/>
      <c r="L147" s="895"/>
      <c r="M147" s="895"/>
      <c r="N147" s="895"/>
    </row>
    <row r="148" spans="1:14" x14ac:dyDescent="0.3">
      <c r="A148" s="895"/>
      <c r="B148" s="895"/>
      <c r="C148" s="895"/>
      <c r="D148" s="895"/>
      <c r="E148" s="895"/>
      <c r="F148" s="895"/>
      <c r="G148" s="895"/>
      <c r="H148" s="895"/>
      <c r="I148" s="895"/>
      <c r="J148" s="895"/>
      <c r="K148" s="895"/>
      <c r="L148" s="895"/>
      <c r="M148" s="895"/>
      <c r="N148" s="895"/>
    </row>
    <row r="149" spans="1:14" x14ac:dyDescent="0.3">
      <c r="A149" s="895"/>
      <c r="B149" s="895"/>
      <c r="C149" s="895"/>
      <c r="D149" s="895"/>
      <c r="E149" s="895"/>
      <c r="F149" s="895"/>
      <c r="G149" s="895"/>
      <c r="H149" s="895"/>
      <c r="I149" s="895"/>
      <c r="J149" s="895"/>
      <c r="K149" s="895"/>
      <c r="L149" s="895"/>
      <c r="M149" s="895"/>
      <c r="N149" s="895"/>
    </row>
    <row r="150" spans="1:14" x14ac:dyDescent="0.3">
      <c r="A150" s="895"/>
      <c r="B150" s="895"/>
      <c r="C150" s="895"/>
      <c r="D150" s="895"/>
      <c r="E150" s="895"/>
      <c r="F150" s="895"/>
      <c r="G150" s="895"/>
      <c r="H150" s="895"/>
      <c r="I150" s="895"/>
      <c r="J150" s="895"/>
      <c r="K150" s="895"/>
      <c r="L150" s="895"/>
      <c r="M150" s="895"/>
      <c r="N150" s="895"/>
    </row>
    <row r="151" spans="1:14" x14ac:dyDescent="0.3">
      <c r="A151" s="895"/>
      <c r="B151" s="895"/>
      <c r="C151" s="895"/>
      <c r="D151" s="895"/>
      <c r="E151" s="895"/>
      <c r="F151" s="895"/>
      <c r="G151" s="895"/>
      <c r="H151" s="895"/>
      <c r="I151" s="895"/>
      <c r="J151" s="895"/>
      <c r="K151" s="895"/>
      <c r="L151" s="895"/>
      <c r="M151" s="895"/>
      <c r="N151" s="895"/>
    </row>
    <row r="152" spans="1:14" x14ac:dyDescent="0.3">
      <c r="A152" s="895"/>
      <c r="B152" s="895"/>
      <c r="C152" s="895"/>
      <c r="D152" s="895"/>
      <c r="E152" s="895"/>
      <c r="F152" s="895"/>
      <c r="G152" s="895"/>
      <c r="H152" s="895"/>
      <c r="I152" s="895"/>
      <c r="J152" s="895"/>
      <c r="K152" s="895"/>
      <c r="L152" s="895"/>
      <c r="M152" s="895"/>
      <c r="N152" s="895"/>
    </row>
    <row r="153" spans="1:14" x14ac:dyDescent="0.3">
      <c r="A153" s="895"/>
      <c r="B153" s="895"/>
      <c r="C153" s="895"/>
      <c r="D153" s="895"/>
      <c r="E153" s="895"/>
      <c r="F153" s="895"/>
      <c r="G153" s="895"/>
      <c r="H153" s="895"/>
      <c r="I153" s="895"/>
      <c r="J153" s="895"/>
      <c r="K153" s="895"/>
      <c r="L153" s="895"/>
      <c r="M153" s="895"/>
      <c r="N153" s="895"/>
    </row>
    <row r="154" spans="1:14" x14ac:dyDescent="0.3">
      <c r="A154" s="895"/>
      <c r="B154" s="895"/>
      <c r="C154" s="895"/>
      <c r="D154" s="895"/>
      <c r="E154" s="895"/>
      <c r="F154" s="895"/>
      <c r="G154" s="895"/>
      <c r="H154" s="895"/>
      <c r="I154" s="895"/>
      <c r="J154" s="895"/>
      <c r="K154" s="895"/>
      <c r="L154" s="895"/>
      <c r="M154" s="895"/>
      <c r="N154" s="895"/>
    </row>
    <row r="155" spans="1:14" x14ac:dyDescent="0.3">
      <c r="A155" s="895"/>
      <c r="B155" s="895"/>
      <c r="C155" s="895"/>
      <c r="D155" s="895"/>
      <c r="E155" s="895"/>
      <c r="F155" s="895"/>
      <c r="G155" s="895"/>
      <c r="H155" s="895"/>
      <c r="I155" s="895"/>
      <c r="J155" s="895"/>
      <c r="K155" s="895"/>
      <c r="L155" s="895"/>
      <c r="M155" s="895"/>
      <c r="N155" s="895"/>
    </row>
    <row r="156" spans="1:14" x14ac:dyDescent="0.3">
      <c r="A156" s="895"/>
      <c r="B156" s="895"/>
      <c r="C156" s="895"/>
      <c r="D156" s="895"/>
      <c r="E156" s="895"/>
      <c r="F156" s="895"/>
      <c r="G156" s="895"/>
      <c r="H156" s="895"/>
      <c r="I156" s="895"/>
      <c r="J156" s="895"/>
      <c r="K156" s="895"/>
      <c r="L156" s="895"/>
      <c r="M156" s="895"/>
      <c r="N156" s="895"/>
    </row>
    <row r="157" spans="1:14" x14ac:dyDescent="0.3">
      <c r="A157" s="895"/>
      <c r="B157" s="895"/>
      <c r="C157" s="895"/>
      <c r="D157" s="895"/>
      <c r="E157" s="895"/>
      <c r="F157" s="895"/>
      <c r="G157" s="895"/>
      <c r="H157" s="895"/>
      <c r="I157" s="895"/>
      <c r="J157" s="895"/>
      <c r="K157" s="895"/>
      <c r="L157" s="895"/>
      <c r="M157" s="895"/>
      <c r="N157" s="895"/>
    </row>
    <row r="158" spans="1:14" x14ac:dyDescent="0.3">
      <c r="A158" s="895"/>
      <c r="B158" s="895"/>
      <c r="C158" s="895"/>
      <c r="D158" s="895"/>
      <c r="E158" s="895"/>
      <c r="F158" s="895"/>
      <c r="G158" s="895"/>
      <c r="H158" s="895"/>
      <c r="I158" s="895"/>
      <c r="J158" s="895"/>
      <c r="K158" s="895"/>
      <c r="L158" s="895"/>
      <c r="M158" s="895"/>
      <c r="N158" s="895"/>
    </row>
    <row r="159" spans="1:14" x14ac:dyDescent="0.3">
      <c r="A159" s="895"/>
      <c r="B159" s="895"/>
      <c r="C159" s="895"/>
      <c r="D159" s="895"/>
      <c r="E159" s="895"/>
      <c r="F159" s="895"/>
      <c r="G159" s="895"/>
      <c r="H159" s="895"/>
      <c r="I159" s="895"/>
      <c r="J159" s="895"/>
      <c r="K159" s="895"/>
      <c r="L159" s="895"/>
      <c r="M159" s="895"/>
      <c r="N159" s="895"/>
    </row>
    <row r="160" spans="1:14" x14ac:dyDescent="0.3">
      <c r="A160" s="895"/>
      <c r="B160" s="895"/>
      <c r="C160" s="895"/>
      <c r="D160" s="895"/>
      <c r="E160" s="895"/>
      <c r="F160" s="895"/>
      <c r="G160" s="895"/>
      <c r="H160" s="895"/>
      <c r="I160" s="895"/>
      <c r="J160" s="895"/>
      <c r="K160" s="895"/>
      <c r="L160" s="895"/>
      <c r="M160" s="895"/>
      <c r="N160" s="895"/>
    </row>
    <row r="161" spans="1:14" x14ac:dyDescent="0.3">
      <c r="A161" s="895"/>
      <c r="B161" s="895"/>
      <c r="C161" s="895"/>
      <c r="D161" s="895"/>
      <c r="E161" s="895"/>
      <c r="F161" s="895"/>
      <c r="G161" s="895"/>
      <c r="H161" s="895"/>
      <c r="I161" s="895"/>
      <c r="J161" s="895"/>
      <c r="K161" s="895"/>
      <c r="L161" s="895"/>
      <c r="M161" s="895"/>
      <c r="N161" s="895"/>
    </row>
    <row r="162" spans="1:14" x14ac:dyDescent="0.3">
      <c r="A162" s="895"/>
      <c r="B162" s="895"/>
      <c r="C162" s="895"/>
      <c r="D162" s="895"/>
      <c r="E162" s="895"/>
      <c r="F162" s="895"/>
      <c r="G162" s="895"/>
      <c r="H162" s="895"/>
      <c r="I162" s="895"/>
      <c r="J162" s="895"/>
      <c r="K162" s="895"/>
      <c r="L162" s="895"/>
      <c r="M162" s="895"/>
      <c r="N162" s="895"/>
    </row>
    <row r="163" spans="1:14" x14ac:dyDescent="0.3">
      <c r="A163" s="895"/>
      <c r="B163" s="895"/>
      <c r="C163" s="895"/>
      <c r="D163" s="895"/>
      <c r="E163" s="895"/>
      <c r="F163" s="895"/>
      <c r="G163" s="895"/>
      <c r="H163" s="895"/>
      <c r="I163" s="895"/>
      <c r="J163" s="895"/>
      <c r="K163" s="895"/>
      <c r="L163" s="895"/>
      <c r="M163" s="895"/>
      <c r="N163" s="895"/>
    </row>
    <row r="164" spans="1:14" x14ac:dyDescent="0.3">
      <c r="A164" s="895"/>
      <c r="B164" s="895"/>
      <c r="C164" s="895"/>
      <c r="D164" s="895"/>
      <c r="E164" s="895"/>
      <c r="F164" s="895"/>
      <c r="G164" s="895"/>
      <c r="H164" s="895"/>
      <c r="I164" s="895"/>
      <c r="J164" s="895"/>
      <c r="K164" s="895"/>
      <c r="L164" s="895"/>
      <c r="M164" s="895"/>
      <c r="N164" s="895"/>
    </row>
    <row r="165" spans="1:14" x14ac:dyDescent="0.3">
      <c r="A165" s="895"/>
      <c r="B165" s="895"/>
      <c r="C165" s="895"/>
      <c r="D165" s="895"/>
      <c r="E165" s="895"/>
      <c r="F165" s="895"/>
      <c r="G165" s="895"/>
      <c r="H165" s="895"/>
      <c r="I165" s="895"/>
      <c r="J165" s="895"/>
      <c r="K165" s="895"/>
      <c r="L165" s="895"/>
      <c r="M165" s="895"/>
      <c r="N165" s="895"/>
    </row>
    <row r="166" spans="1:14" x14ac:dyDescent="0.3">
      <c r="A166" s="895"/>
      <c r="B166" s="895"/>
      <c r="C166" s="895"/>
      <c r="D166" s="895"/>
      <c r="E166" s="895"/>
      <c r="F166" s="895"/>
      <c r="G166" s="895"/>
      <c r="H166" s="895"/>
      <c r="I166" s="895"/>
      <c r="J166" s="895"/>
      <c r="K166" s="895"/>
      <c r="L166" s="895"/>
      <c r="M166" s="895"/>
      <c r="N166" s="895"/>
    </row>
    <row r="167" spans="1:14" x14ac:dyDescent="0.3">
      <c r="A167" s="895"/>
      <c r="B167" s="895"/>
      <c r="C167" s="895"/>
      <c r="D167" s="895"/>
      <c r="E167" s="895"/>
      <c r="F167" s="895"/>
      <c r="G167" s="895"/>
      <c r="H167" s="895"/>
      <c r="I167" s="895"/>
      <c r="J167" s="895"/>
      <c r="K167" s="895"/>
      <c r="L167" s="895"/>
      <c r="M167" s="895"/>
      <c r="N167" s="895"/>
    </row>
    <row r="168" spans="1:14" x14ac:dyDescent="0.3">
      <c r="A168" s="895"/>
      <c r="B168" s="895"/>
      <c r="C168" s="895"/>
      <c r="D168" s="895"/>
      <c r="E168" s="895"/>
      <c r="F168" s="895"/>
      <c r="G168" s="895"/>
      <c r="H168" s="895"/>
      <c r="I168" s="895"/>
      <c r="J168" s="895"/>
      <c r="K168" s="895"/>
      <c r="L168" s="895"/>
      <c r="M168" s="895"/>
      <c r="N168" s="895"/>
    </row>
    <row r="169" spans="1:14" x14ac:dyDescent="0.3">
      <c r="A169" s="895"/>
      <c r="B169" s="895"/>
      <c r="C169" s="895"/>
      <c r="D169" s="895"/>
      <c r="E169" s="895"/>
      <c r="F169" s="895"/>
      <c r="G169" s="895"/>
      <c r="H169" s="895"/>
      <c r="I169" s="895"/>
      <c r="J169" s="895"/>
      <c r="K169" s="895"/>
      <c r="L169" s="895"/>
      <c r="M169" s="895"/>
      <c r="N169" s="895"/>
    </row>
    <row r="170" spans="1:14" x14ac:dyDescent="0.3">
      <c r="A170" s="895"/>
      <c r="B170" s="895"/>
      <c r="C170" s="895"/>
      <c r="D170" s="895"/>
      <c r="E170" s="895"/>
      <c r="F170" s="895"/>
      <c r="G170" s="895"/>
      <c r="H170" s="895"/>
      <c r="I170" s="895"/>
      <c r="J170" s="895"/>
      <c r="K170" s="895"/>
      <c r="L170" s="895"/>
      <c r="M170" s="895"/>
      <c r="N170" s="895"/>
    </row>
    <row r="171" spans="1:14" x14ac:dyDescent="0.3">
      <c r="A171" s="895"/>
      <c r="B171" s="895"/>
      <c r="C171" s="895"/>
      <c r="D171" s="895"/>
      <c r="E171" s="895"/>
      <c r="F171" s="895"/>
      <c r="G171" s="895"/>
      <c r="H171" s="895"/>
      <c r="I171" s="895"/>
      <c r="J171" s="895"/>
      <c r="K171" s="895"/>
      <c r="L171" s="895"/>
      <c r="M171" s="895"/>
      <c r="N171" s="895"/>
    </row>
    <row r="172" spans="1:14" x14ac:dyDescent="0.3">
      <c r="A172" s="895"/>
      <c r="B172" s="895"/>
      <c r="C172" s="895"/>
      <c r="D172" s="895"/>
      <c r="E172" s="895"/>
      <c r="F172" s="895"/>
      <c r="G172" s="895"/>
      <c r="H172" s="895"/>
      <c r="I172" s="895"/>
      <c r="J172" s="895"/>
      <c r="K172" s="895"/>
      <c r="L172" s="895"/>
      <c r="M172" s="895"/>
      <c r="N172" s="895"/>
    </row>
    <row r="173" spans="1:14" x14ac:dyDescent="0.3">
      <c r="A173" s="895"/>
      <c r="B173" s="895"/>
      <c r="C173" s="895"/>
      <c r="D173" s="895"/>
      <c r="E173" s="895"/>
      <c r="F173" s="895"/>
      <c r="G173" s="895"/>
      <c r="H173" s="895"/>
      <c r="I173" s="895"/>
      <c r="J173" s="895"/>
      <c r="K173" s="895"/>
      <c r="L173" s="895"/>
      <c r="M173" s="895"/>
      <c r="N173" s="895"/>
    </row>
    <row r="174" spans="1:14" x14ac:dyDescent="0.3">
      <c r="A174" s="895"/>
      <c r="B174" s="895"/>
      <c r="C174" s="895"/>
      <c r="D174" s="895"/>
      <c r="E174" s="895"/>
      <c r="F174" s="895"/>
      <c r="G174" s="895"/>
      <c r="H174" s="895"/>
      <c r="I174" s="895"/>
      <c r="J174" s="895"/>
      <c r="K174" s="895"/>
      <c r="L174" s="895"/>
      <c r="M174" s="895"/>
      <c r="N174" s="895"/>
    </row>
    <row r="175" spans="1:14" x14ac:dyDescent="0.3">
      <c r="A175" s="895"/>
      <c r="B175" s="895"/>
      <c r="C175" s="895"/>
      <c r="D175" s="895"/>
      <c r="E175" s="895"/>
      <c r="F175" s="895"/>
      <c r="G175" s="895"/>
      <c r="H175" s="895"/>
      <c r="I175" s="895"/>
      <c r="J175" s="895"/>
      <c r="K175" s="895"/>
      <c r="L175" s="895"/>
      <c r="M175" s="895"/>
      <c r="N175" s="895"/>
    </row>
    <row r="176" spans="1:14" x14ac:dyDescent="0.3">
      <c r="A176" s="895"/>
      <c r="B176" s="895"/>
      <c r="C176" s="895"/>
      <c r="D176" s="895"/>
      <c r="E176" s="895"/>
      <c r="F176" s="895"/>
      <c r="G176" s="895"/>
      <c r="H176" s="895"/>
      <c r="I176" s="895"/>
      <c r="J176" s="895"/>
      <c r="K176" s="895"/>
      <c r="L176" s="895"/>
      <c r="M176" s="895"/>
      <c r="N176" s="895"/>
    </row>
    <row r="177" spans="1:14" x14ac:dyDescent="0.3">
      <c r="A177" s="895"/>
      <c r="B177" s="895"/>
      <c r="C177" s="895"/>
      <c r="D177" s="895"/>
      <c r="E177" s="895"/>
      <c r="F177" s="895"/>
      <c r="G177" s="895"/>
      <c r="H177" s="895"/>
      <c r="I177" s="895"/>
      <c r="J177" s="895"/>
      <c r="K177" s="895"/>
      <c r="L177" s="895"/>
      <c r="M177" s="895"/>
      <c r="N177" s="895"/>
    </row>
    <row r="178" spans="1:14" x14ac:dyDescent="0.3">
      <c r="A178" s="895"/>
      <c r="B178" s="895"/>
      <c r="C178" s="895"/>
      <c r="D178" s="895"/>
      <c r="E178" s="895"/>
      <c r="F178" s="895"/>
      <c r="G178" s="895"/>
      <c r="H178" s="895"/>
      <c r="I178" s="895"/>
      <c r="J178" s="895"/>
      <c r="K178" s="895"/>
      <c r="L178" s="895"/>
      <c r="M178" s="895"/>
      <c r="N178" s="895"/>
    </row>
    <row r="179" spans="1:14" x14ac:dyDescent="0.3">
      <c r="A179" s="895"/>
      <c r="B179" s="895"/>
      <c r="C179" s="895"/>
      <c r="D179" s="895"/>
      <c r="E179" s="895"/>
      <c r="F179" s="895"/>
      <c r="G179" s="895"/>
      <c r="H179" s="895"/>
      <c r="I179" s="895"/>
      <c r="J179" s="895"/>
      <c r="K179" s="895"/>
      <c r="L179" s="895"/>
      <c r="M179" s="895"/>
      <c r="N179" s="895"/>
    </row>
    <row r="180" spans="1:14" x14ac:dyDescent="0.3">
      <c r="A180" s="895"/>
      <c r="B180" s="895"/>
      <c r="C180" s="895"/>
      <c r="D180" s="895"/>
      <c r="E180" s="895"/>
      <c r="F180" s="895"/>
      <c r="G180" s="895"/>
      <c r="H180" s="895"/>
      <c r="I180" s="895"/>
      <c r="J180" s="895"/>
      <c r="K180" s="895"/>
      <c r="L180" s="895"/>
      <c r="M180" s="895"/>
      <c r="N180" s="895"/>
    </row>
    <row r="181" spans="1:14" x14ac:dyDescent="0.3">
      <c r="A181" s="895"/>
      <c r="B181" s="895"/>
      <c r="C181" s="895"/>
      <c r="D181" s="895"/>
      <c r="E181" s="895"/>
      <c r="F181" s="895"/>
      <c r="G181" s="895"/>
      <c r="H181" s="895"/>
      <c r="I181" s="895"/>
      <c r="J181" s="895"/>
      <c r="K181" s="895"/>
      <c r="L181" s="895"/>
      <c r="M181" s="895"/>
      <c r="N181" s="895"/>
    </row>
    <row r="182" spans="1:14" x14ac:dyDescent="0.3">
      <c r="A182" s="895"/>
      <c r="B182" s="895"/>
      <c r="C182" s="895"/>
      <c r="D182" s="895"/>
      <c r="E182" s="895"/>
      <c r="F182" s="895"/>
      <c r="G182" s="895"/>
      <c r="H182" s="895"/>
      <c r="I182" s="895"/>
      <c r="J182" s="895"/>
      <c r="K182" s="895"/>
      <c r="L182" s="895"/>
      <c r="M182" s="895"/>
      <c r="N182" s="895"/>
    </row>
    <row r="183" spans="1:14" x14ac:dyDescent="0.3">
      <c r="A183" s="895"/>
      <c r="B183" s="895"/>
      <c r="C183" s="895"/>
      <c r="D183" s="895"/>
      <c r="E183" s="895"/>
      <c r="F183" s="895"/>
      <c r="G183" s="895"/>
      <c r="H183" s="895"/>
      <c r="I183" s="895"/>
      <c r="J183" s="895"/>
      <c r="K183" s="895"/>
      <c r="L183" s="895"/>
      <c r="M183" s="895"/>
      <c r="N183" s="895"/>
    </row>
    <row r="184" spans="1:14" x14ac:dyDescent="0.3">
      <c r="A184" s="895"/>
      <c r="B184" s="895"/>
      <c r="C184" s="895"/>
      <c r="D184" s="895"/>
      <c r="E184" s="895"/>
      <c r="F184" s="895"/>
      <c r="G184" s="895"/>
      <c r="H184" s="895"/>
      <c r="I184" s="895"/>
      <c r="J184" s="895"/>
      <c r="K184" s="895"/>
      <c r="L184" s="895"/>
      <c r="M184" s="895"/>
      <c r="N184" s="895"/>
    </row>
    <row r="185" spans="1:14" x14ac:dyDescent="0.3">
      <c r="A185" s="895"/>
      <c r="B185" s="895"/>
      <c r="C185" s="895"/>
      <c r="D185" s="895"/>
      <c r="E185" s="895"/>
      <c r="F185" s="895"/>
      <c r="G185" s="895"/>
      <c r="H185" s="895"/>
      <c r="I185" s="895"/>
      <c r="J185" s="895"/>
      <c r="K185" s="895"/>
      <c r="L185" s="895"/>
      <c r="M185" s="895"/>
      <c r="N185" s="895"/>
    </row>
    <row r="186" spans="1:14" x14ac:dyDescent="0.3">
      <c r="A186" s="895"/>
      <c r="B186" s="895"/>
      <c r="C186" s="895"/>
      <c r="D186" s="895"/>
      <c r="E186" s="895"/>
      <c r="F186" s="895"/>
      <c r="G186" s="895"/>
      <c r="H186" s="895"/>
      <c r="I186" s="895"/>
      <c r="J186" s="895"/>
      <c r="K186" s="895"/>
      <c r="L186" s="895"/>
      <c r="M186" s="895"/>
      <c r="N186" s="895"/>
    </row>
    <row r="187" spans="1:14" x14ac:dyDescent="0.3">
      <c r="A187" s="895"/>
      <c r="B187" s="895"/>
      <c r="C187" s="895"/>
      <c r="D187" s="895"/>
      <c r="E187" s="895"/>
      <c r="F187" s="895"/>
      <c r="G187" s="895"/>
      <c r="H187" s="895"/>
      <c r="I187" s="895"/>
      <c r="J187" s="895"/>
      <c r="K187" s="895"/>
      <c r="L187" s="895"/>
      <c r="M187" s="895"/>
      <c r="N187" s="895"/>
    </row>
    <row r="188" spans="1:14" x14ac:dyDescent="0.3">
      <c r="A188" s="895"/>
      <c r="B188" s="895"/>
      <c r="C188" s="895"/>
      <c r="D188" s="895"/>
      <c r="E188" s="895"/>
      <c r="F188" s="895"/>
      <c r="G188" s="895"/>
      <c r="H188" s="895"/>
      <c r="I188" s="895"/>
      <c r="J188" s="895"/>
      <c r="K188" s="895"/>
      <c r="L188" s="895"/>
      <c r="M188" s="895"/>
      <c r="N188" s="895"/>
    </row>
    <row r="189" spans="1:14" x14ac:dyDescent="0.3">
      <c r="A189" s="895"/>
      <c r="B189" s="895"/>
      <c r="C189" s="895"/>
      <c r="D189" s="895"/>
      <c r="E189" s="895"/>
      <c r="F189" s="895"/>
      <c r="G189" s="895"/>
      <c r="H189" s="895"/>
      <c r="I189" s="895"/>
      <c r="J189" s="895"/>
      <c r="K189" s="895"/>
      <c r="L189" s="895"/>
      <c r="M189" s="895"/>
      <c r="N189" s="895"/>
    </row>
    <row r="190" spans="1:14" x14ac:dyDescent="0.3">
      <c r="A190" s="895"/>
      <c r="B190" s="895"/>
      <c r="C190" s="895"/>
      <c r="D190" s="895"/>
      <c r="E190" s="895"/>
      <c r="F190" s="895"/>
      <c r="G190" s="895"/>
      <c r="H190" s="895"/>
      <c r="I190" s="895"/>
      <c r="J190" s="895"/>
      <c r="K190" s="895"/>
      <c r="L190" s="895"/>
      <c r="M190" s="895"/>
      <c r="N190" s="895"/>
    </row>
    <row r="191" spans="1:14" x14ac:dyDescent="0.3">
      <c r="A191" s="895"/>
      <c r="B191" s="895"/>
      <c r="C191" s="895"/>
      <c r="D191" s="895"/>
      <c r="E191" s="895"/>
      <c r="F191" s="895"/>
      <c r="G191" s="895"/>
      <c r="H191" s="895"/>
      <c r="I191" s="895"/>
      <c r="J191" s="895"/>
      <c r="K191" s="895"/>
      <c r="L191" s="895"/>
      <c r="M191" s="895"/>
      <c r="N191" s="895"/>
    </row>
    <row r="192" spans="1:14" x14ac:dyDescent="0.3">
      <c r="A192" s="895"/>
      <c r="B192" s="895"/>
      <c r="C192" s="895"/>
      <c r="D192" s="895"/>
      <c r="E192" s="895"/>
      <c r="F192" s="895"/>
      <c r="G192" s="895"/>
      <c r="H192" s="895"/>
      <c r="I192" s="895"/>
      <c r="J192" s="895"/>
      <c r="K192" s="895"/>
      <c r="L192" s="895"/>
      <c r="M192" s="895"/>
      <c r="N192" s="895"/>
    </row>
    <row r="193" spans="1:14" x14ac:dyDescent="0.3">
      <c r="A193" s="895"/>
      <c r="B193" s="895"/>
      <c r="C193" s="895"/>
      <c r="D193" s="895"/>
      <c r="E193" s="895"/>
      <c r="F193" s="895"/>
      <c r="G193" s="895"/>
      <c r="H193" s="895"/>
      <c r="I193" s="895"/>
      <c r="J193" s="895"/>
      <c r="K193" s="895"/>
      <c r="L193" s="895"/>
      <c r="M193" s="895"/>
      <c r="N193" s="895"/>
    </row>
    <row r="194" spans="1:14" x14ac:dyDescent="0.3">
      <c r="A194" s="895"/>
      <c r="B194" s="895"/>
      <c r="C194" s="895"/>
      <c r="D194" s="895"/>
      <c r="E194" s="895"/>
      <c r="F194" s="895"/>
      <c r="G194" s="895"/>
      <c r="H194" s="895"/>
      <c r="I194" s="895"/>
      <c r="J194" s="895"/>
      <c r="K194" s="895"/>
      <c r="L194" s="895"/>
      <c r="M194" s="895"/>
      <c r="N194" s="895"/>
    </row>
    <row r="195" spans="1:14" x14ac:dyDescent="0.3">
      <c r="A195" s="895"/>
      <c r="B195" s="895"/>
      <c r="C195" s="895"/>
      <c r="D195" s="895"/>
      <c r="E195" s="895"/>
      <c r="F195" s="895"/>
      <c r="G195" s="895"/>
      <c r="H195" s="895"/>
      <c r="I195" s="895"/>
      <c r="J195" s="895"/>
      <c r="K195" s="895"/>
      <c r="L195" s="895"/>
      <c r="M195" s="895"/>
      <c r="N195" s="895"/>
    </row>
    <row r="196" spans="1:14" x14ac:dyDescent="0.3">
      <c r="A196" s="895"/>
      <c r="B196" s="895"/>
      <c r="C196" s="895"/>
      <c r="D196" s="895"/>
      <c r="E196" s="895"/>
      <c r="F196" s="895"/>
      <c r="G196" s="895"/>
      <c r="H196" s="895"/>
      <c r="I196" s="895"/>
      <c r="J196" s="895"/>
      <c r="K196" s="895"/>
      <c r="L196" s="895"/>
      <c r="M196" s="895"/>
      <c r="N196" s="895"/>
    </row>
    <row r="197" spans="1:14" x14ac:dyDescent="0.3">
      <c r="A197" s="895"/>
      <c r="B197" s="895"/>
      <c r="C197" s="895"/>
      <c r="D197" s="895"/>
      <c r="E197" s="895"/>
      <c r="F197" s="895"/>
      <c r="G197" s="895"/>
      <c r="H197" s="895"/>
      <c r="I197" s="895"/>
      <c r="J197" s="895"/>
      <c r="K197" s="895"/>
      <c r="L197" s="895"/>
      <c r="M197" s="895"/>
      <c r="N197" s="895"/>
    </row>
    <row r="198" spans="1:14" x14ac:dyDescent="0.3">
      <c r="A198" s="895"/>
      <c r="B198" s="895"/>
      <c r="C198" s="895"/>
      <c r="D198" s="895"/>
      <c r="E198" s="895"/>
      <c r="F198" s="895"/>
      <c r="G198" s="895"/>
      <c r="H198" s="895"/>
      <c r="I198" s="895"/>
      <c r="J198" s="895"/>
      <c r="K198" s="895"/>
      <c r="L198" s="895"/>
      <c r="M198" s="895"/>
      <c r="N198" s="895"/>
    </row>
    <row r="199" spans="1:14" x14ac:dyDescent="0.3">
      <c r="A199" s="895"/>
      <c r="B199" s="895"/>
      <c r="C199" s="895"/>
      <c r="D199" s="895"/>
      <c r="E199" s="895"/>
      <c r="F199" s="895"/>
      <c r="G199" s="895"/>
      <c r="H199" s="895"/>
      <c r="I199" s="895"/>
      <c r="J199" s="895"/>
      <c r="K199" s="895"/>
      <c r="L199" s="895"/>
      <c r="M199" s="895"/>
      <c r="N199" s="895"/>
    </row>
    <row r="200" spans="1:14" x14ac:dyDescent="0.3">
      <c r="A200" s="895"/>
      <c r="B200" s="895"/>
      <c r="C200" s="895"/>
      <c r="D200" s="895"/>
      <c r="E200" s="895"/>
      <c r="F200" s="895"/>
      <c r="G200" s="895"/>
      <c r="H200" s="895"/>
      <c r="I200" s="895"/>
      <c r="J200" s="895"/>
      <c r="K200" s="895"/>
      <c r="L200" s="895"/>
      <c r="M200" s="895"/>
      <c r="N200" s="895"/>
    </row>
    <row r="201" spans="1:14" x14ac:dyDescent="0.3">
      <c r="A201" s="895"/>
      <c r="B201" s="895"/>
      <c r="C201" s="895"/>
      <c r="D201" s="895"/>
      <c r="E201" s="895"/>
      <c r="F201" s="895"/>
      <c r="G201" s="895"/>
      <c r="H201" s="895"/>
      <c r="I201" s="895"/>
      <c r="J201" s="895"/>
      <c r="K201" s="895"/>
      <c r="L201" s="895"/>
      <c r="M201" s="895"/>
      <c r="N201" s="895"/>
    </row>
    <row r="202" spans="1:14" x14ac:dyDescent="0.3">
      <c r="A202" s="895"/>
      <c r="B202" s="895"/>
      <c r="C202" s="895"/>
      <c r="D202" s="895"/>
      <c r="E202" s="895"/>
      <c r="F202" s="895"/>
      <c r="G202" s="895"/>
      <c r="H202" s="895"/>
      <c r="I202" s="895"/>
      <c r="J202" s="895"/>
      <c r="K202" s="895"/>
      <c r="L202" s="895"/>
      <c r="M202" s="895"/>
      <c r="N202" s="895"/>
    </row>
    <row r="203" spans="1:14" x14ac:dyDescent="0.3">
      <c r="A203" s="895"/>
      <c r="B203" s="895"/>
      <c r="C203" s="895"/>
      <c r="D203" s="895"/>
      <c r="E203" s="895"/>
      <c r="F203" s="895"/>
      <c r="G203" s="895"/>
      <c r="H203" s="895"/>
      <c r="I203" s="895"/>
      <c r="J203" s="895"/>
      <c r="K203" s="895"/>
      <c r="L203" s="895"/>
      <c r="M203" s="895"/>
      <c r="N203" s="895"/>
    </row>
    <row r="204" spans="1:14" x14ac:dyDescent="0.3">
      <c r="A204" s="895"/>
      <c r="B204" s="895"/>
      <c r="C204" s="895"/>
      <c r="D204" s="895"/>
      <c r="E204" s="895"/>
      <c r="F204" s="895"/>
      <c r="G204" s="895"/>
      <c r="H204" s="895"/>
      <c r="I204" s="895"/>
      <c r="J204" s="895"/>
      <c r="K204" s="895"/>
      <c r="L204" s="895"/>
      <c r="M204" s="895"/>
      <c r="N204" s="895"/>
    </row>
    <row r="205" spans="1:14" x14ac:dyDescent="0.3">
      <c r="A205" s="895"/>
      <c r="B205" s="895"/>
      <c r="C205" s="895"/>
      <c r="D205" s="895"/>
      <c r="E205" s="895"/>
      <c r="F205" s="895"/>
      <c r="G205" s="895"/>
      <c r="H205" s="895"/>
      <c r="I205" s="895"/>
      <c r="J205" s="895"/>
      <c r="K205" s="895"/>
      <c r="L205" s="895"/>
      <c r="M205" s="895"/>
      <c r="N205" s="895"/>
    </row>
    <row r="206" spans="1:14" x14ac:dyDescent="0.3">
      <c r="A206" s="895"/>
      <c r="B206" s="895"/>
      <c r="C206" s="895"/>
      <c r="D206" s="895"/>
      <c r="E206" s="895"/>
      <c r="F206" s="895"/>
      <c r="G206" s="895"/>
      <c r="H206" s="895"/>
      <c r="I206" s="895"/>
      <c r="J206" s="895"/>
      <c r="K206" s="895"/>
      <c r="L206" s="895"/>
      <c r="M206" s="895"/>
      <c r="N206" s="895"/>
    </row>
    <row r="207" spans="1:14" x14ac:dyDescent="0.3">
      <c r="A207" s="895"/>
      <c r="B207" s="895"/>
      <c r="C207" s="895"/>
      <c r="D207" s="895"/>
      <c r="E207" s="895"/>
      <c r="F207" s="895"/>
      <c r="G207" s="895"/>
      <c r="H207" s="895"/>
      <c r="I207" s="895"/>
      <c r="J207" s="895"/>
      <c r="K207" s="895"/>
      <c r="L207" s="895"/>
      <c r="M207" s="895"/>
      <c r="N207" s="895"/>
    </row>
    <row r="208" spans="1:14" x14ac:dyDescent="0.3">
      <c r="A208" s="895"/>
      <c r="B208" s="895"/>
      <c r="C208" s="895"/>
      <c r="D208" s="895"/>
      <c r="E208" s="895"/>
      <c r="F208" s="895"/>
      <c r="G208" s="895"/>
      <c r="H208" s="895"/>
      <c r="I208" s="895"/>
      <c r="J208" s="896"/>
      <c r="K208" s="896"/>
      <c r="L208" s="896"/>
      <c r="M208" s="896"/>
      <c r="N208" s="896"/>
    </row>
    <row r="209" spans="1:9" x14ac:dyDescent="0.3">
      <c r="A209" s="895"/>
      <c r="B209" s="895"/>
      <c r="C209" s="895"/>
      <c r="D209" s="895"/>
      <c r="E209" s="895"/>
      <c r="F209" s="895"/>
      <c r="G209" s="895"/>
      <c r="H209" s="895"/>
      <c r="I209" s="895"/>
    </row>
    <row r="210" spans="1:9" x14ac:dyDescent="0.3">
      <c r="A210" s="895"/>
      <c r="B210" s="895"/>
      <c r="C210" s="895"/>
      <c r="D210" s="895"/>
      <c r="E210" s="895"/>
      <c r="F210" s="895"/>
      <c r="G210" s="895"/>
      <c r="H210" s="895"/>
      <c r="I210" s="895"/>
    </row>
    <row r="211" spans="1:9" x14ac:dyDescent="0.3">
      <c r="A211" s="895"/>
      <c r="B211" s="895"/>
      <c r="C211" s="895"/>
      <c r="D211" s="895"/>
      <c r="E211" s="895"/>
      <c r="F211" s="895"/>
      <c r="G211" s="895"/>
      <c r="H211" s="895"/>
      <c r="I211" s="895"/>
    </row>
    <row r="212" spans="1:9" x14ac:dyDescent="0.3">
      <c r="A212" s="895"/>
      <c r="B212" s="895"/>
      <c r="C212" s="895"/>
      <c r="D212" s="895"/>
      <c r="E212" s="895"/>
      <c r="F212" s="895"/>
      <c r="G212" s="895"/>
      <c r="H212" s="895"/>
      <c r="I212" s="895"/>
    </row>
    <row r="213" spans="1:9" x14ac:dyDescent="0.3">
      <c r="A213" s="895"/>
      <c r="B213" s="895"/>
      <c r="C213" s="895"/>
      <c r="D213" s="895"/>
      <c r="E213" s="895"/>
      <c r="F213" s="895"/>
      <c r="G213" s="895"/>
      <c r="H213" s="895"/>
      <c r="I213" s="895"/>
    </row>
    <row r="214" spans="1:9" x14ac:dyDescent="0.3">
      <c r="A214" s="895"/>
      <c r="B214" s="895"/>
      <c r="C214" s="895"/>
      <c r="D214" s="895"/>
      <c r="E214" s="895"/>
      <c r="F214" s="895"/>
      <c r="G214" s="895"/>
      <c r="H214" s="895"/>
      <c r="I214" s="895"/>
    </row>
    <row r="215" spans="1:9" x14ac:dyDescent="0.3">
      <c r="A215" s="895"/>
      <c r="B215" s="895"/>
      <c r="C215" s="895"/>
      <c r="D215" s="895"/>
      <c r="E215" s="895"/>
      <c r="F215" s="895"/>
      <c r="G215" s="895"/>
      <c r="H215" s="895"/>
      <c r="I215" s="895"/>
    </row>
    <row r="216" spans="1:9" x14ac:dyDescent="0.3">
      <c r="A216" s="895"/>
      <c r="B216" s="895"/>
      <c r="C216" s="895"/>
      <c r="D216" s="895"/>
      <c r="E216" s="895"/>
      <c r="F216" s="895"/>
      <c r="G216" s="895"/>
      <c r="H216" s="895"/>
      <c r="I216" s="895"/>
    </row>
    <row r="217" spans="1:9" x14ac:dyDescent="0.3">
      <c r="A217" s="895"/>
      <c r="B217" s="895"/>
      <c r="C217" s="895"/>
      <c r="D217" s="895"/>
      <c r="E217" s="895"/>
      <c r="F217" s="895"/>
      <c r="G217" s="895"/>
      <c r="H217" s="895"/>
      <c r="I217" s="895"/>
    </row>
    <row r="218" spans="1:9" x14ac:dyDescent="0.3">
      <c r="A218" s="895"/>
      <c r="B218" s="895"/>
      <c r="C218" s="895"/>
      <c r="D218" s="895"/>
      <c r="E218" s="895"/>
      <c r="F218" s="895"/>
      <c r="G218" s="895"/>
      <c r="H218" s="895"/>
      <c r="I218" s="895"/>
    </row>
    <row r="219" spans="1:9" x14ac:dyDescent="0.3">
      <c r="A219" s="895"/>
      <c r="B219" s="895"/>
      <c r="C219" s="895"/>
      <c r="D219" s="895"/>
      <c r="E219" s="895"/>
      <c r="F219" s="895"/>
      <c r="G219" s="895"/>
      <c r="H219" s="895"/>
      <c r="I219" s="895"/>
    </row>
    <row r="220" spans="1:9" x14ac:dyDescent="0.3">
      <c r="A220" s="895"/>
      <c r="B220" s="895"/>
      <c r="C220" s="895"/>
      <c r="D220" s="895"/>
      <c r="E220" s="895"/>
      <c r="F220" s="895"/>
      <c r="G220" s="895"/>
      <c r="H220" s="895"/>
      <c r="I220" s="895"/>
    </row>
    <row r="221" spans="1:9" x14ac:dyDescent="0.3">
      <c r="A221" s="895"/>
      <c r="B221" s="895"/>
      <c r="C221" s="895"/>
      <c r="D221" s="895"/>
      <c r="E221" s="895"/>
      <c r="F221" s="895"/>
      <c r="G221" s="895"/>
      <c r="H221" s="895"/>
      <c r="I221" s="895"/>
    </row>
    <row r="222" spans="1:9" x14ac:dyDescent="0.3">
      <c r="A222" s="895"/>
      <c r="B222" s="895"/>
      <c r="C222" s="895"/>
      <c r="D222" s="895"/>
      <c r="E222" s="895"/>
      <c r="F222" s="895"/>
      <c r="G222" s="895"/>
      <c r="H222" s="895"/>
      <c r="I222" s="895"/>
    </row>
    <row r="223" spans="1:9" x14ac:dyDescent="0.3">
      <c r="A223" s="895"/>
      <c r="B223" s="895"/>
      <c r="C223" s="895"/>
      <c r="D223" s="895"/>
      <c r="E223" s="895"/>
      <c r="F223" s="895"/>
      <c r="G223" s="895"/>
      <c r="H223" s="895"/>
      <c r="I223" s="895"/>
    </row>
    <row r="224" spans="1:9" x14ac:dyDescent="0.3">
      <c r="A224" s="895"/>
      <c r="B224" s="895"/>
      <c r="C224" s="895"/>
      <c r="D224" s="895"/>
      <c r="E224" s="895"/>
      <c r="F224" s="895"/>
      <c r="G224" s="895"/>
      <c r="H224" s="895"/>
      <c r="I224" s="895"/>
    </row>
    <row r="225" spans="1:9" x14ac:dyDescent="0.3">
      <c r="A225" s="895"/>
      <c r="B225" s="895"/>
      <c r="C225" s="895"/>
      <c r="D225" s="895"/>
      <c r="E225" s="895"/>
      <c r="F225" s="895"/>
      <c r="G225" s="895"/>
      <c r="H225" s="895"/>
      <c r="I225" s="895"/>
    </row>
    <row r="226" spans="1:9" x14ac:dyDescent="0.3">
      <c r="A226" s="895"/>
      <c r="B226" s="895"/>
      <c r="C226" s="895"/>
      <c r="D226" s="895"/>
      <c r="E226" s="895"/>
      <c r="F226" s="895"/>
      <c r="G226" s="895"/>
      <c r="H226" s="895"/>
      <c r="I226" s="895"/>
    </row>
    <row r="227" spans="1:9" x14ac:dyDescent="0.3">
      <c r="A227" s="895"/>
      <c r="B227" s="895"/>
      <c r="C227" s="895"/>
      <c r="D227" s="895"/>
      <c r="E227" s="895"/>
      <c r="F227" s="895"/>
      <c r="G227" s="895"/>
      <c r="H227" s="895"/>
      <c r="I227" s="895"/>
    </row>
    <row r="228" spans="1:9" x14ac:dyDescent="0.3">
      <c r="A228" s="895"/>
      <c r="B228" s="895"/>
      <c r="C228" s="895"/>
      <c r="D228" s="895"/>
      <c r="E228" s="895"/>
      <c r="F228" s="895"/>
      <c r="G228" s="895"/>
      <c r="H228" s="895"/>
      <c r="I228" s="895"/>
    </row>
    <row r="229" spans="1:9" x14ac:dyDescent="0.3">
      <c r="A229" s="895"/>
      <c r="B229" s="895"/>
      <c r="C229" s="895"/>
      <c r="D229" s="895"/>
      <c r="E229" s="895"/>
      <c r="F229" s="895"/>
      <c r="G229" s="895"/>
      <c r="H229" s="895"/>
      <c r="I229" s="895"/>
    </row>
    <row r="230" spans="1:9" x14ac:dyDescent="0.3">
      <c r="A230" s="895"/>
      <c r="B230" s="895"/>
      <c r="C230" s="895"/>
      <c r="D230" s="895"/>
      <c r="E230" s="895"/>
      <c r="F230" s="895"/>
      <c r="G230" s="895"/>
      <c r="H230" s="895"/>
      <c r="I230" s="895"/>
    </row>
    <row r="231" spans="1:9" x14ac:dyDescent="0.3">
      <c r="A231" s="895"/>
      <c r="B231" s="895"/>
      <c r="C231" s="895"/>
      <c r="D231" s="895"/>
      <c r="E231" s="895"/>
      <c r="F231" s="895"/>
      <c r="G231" s="895"/>
      <c r="H231" s="895"/>
      <c r="I231" s="895"/>
    </row>
    <row r="232" spans="1:9" x14ac:dyDescent="0.3">
      <c r="A232" s="895"/>
      <c r="B232" s="895"/>
      <c r="C232" s="895"/>
      <c r="D232" s="895"/>
      <c r="E232" s="895"/>
      <c r="F232" s="895"/>
      <c r="G232" s="895"/>
      <c r="H232" s="895"/>
      <c r="I232" s="895"/>
    </row>
    <row r="233" spans="1:9" x14ac:dyDescent="0.3">
      <c r="A233" s="895"/>
      <c r="B233" s="895"/>
      <c r="C233" s="895"/>
      <c r="D233" s="895"/>
      <c r="E233" s="895"/>
      <c r="F233" s="895"/>
      <c r="G233" s="895"/>
      <c r="H233" s="895"/>
      <c r="I233" s="895"/>
    </row>
    <row r="234" spans="1:9" x14ac:dyDescent="0.3">
      <c r="A234" s="895"/>
      <c r="B234" s="895"/>
      <c r="C234" s="895"/>
      <c r="D234" s="895"/>
      <c r="E234" s="895"/>
      <c r="F234" s="895"/>
      <c r="G234" s="895"/>
      <c r="H234" s="895"/>
      <c r="I234" s="895"/>
    </row>
    <row r="235" spans="1:9" x14ac:dyDescent="0.3">
      <c r="A235" s="895"/>
      <c r="B235" s="895"/>
      <c r="C235" s="895"/>
      <c r="D235" s="895"/>
      <c r="E235" s="895"/>
      <c r="F235" s="895"/>
      <c r="G235" s="895"/>
      <c r="H235" s="895"/>
      <c r="I235" s="895"/>
    </row>
    <row r="236" spans="1:9" x14ac:dyDescent="0.3">
      <c r="A236" s="895"/>
      <c r="B236" s="895"/>
      <c r="C236" s="895"/>
      <c r="D236" s="895"/>
      <c r="E236" s="895"/>
      <c r="F236" s="895"/>
      <c r="G236" s="895"/>
      <c r="H236" s="895"/>
      <c r="I236" s="895"/>
    </row>
    <row r="237" spans="1:9" x14ac:dyDescent="0.3">
      <c r="A237" s="895"/>
      <c r="B237" s="895"/>
      <c r="C237" s="895"/>
      <c r="D237" s="895"/>
      <c r="E237" s="895"/>
      <c r="F237" s="895"/>
      <c r="G237" s="895"/>
      <c r="H237" s="895"/>
      <c r="I237" s="895"/>
    </row>
    <row r="238" spans="1:9" x14ac:dyDescent="0.3">
      <c r="A238" s="895"/>
      <c r="B238" s="895"/>
      <c r="C238" s="895"/>
      <c r="D238" s="895"/>
      <c r="E238" s="895"/>
      <c r="F238" s="895"/>
      <c r="G238" s="895"/>
      <c r="H238" s="895"/>
      <c r="I238" s="895"/>
    </row>
    <row r="239" spans="1:9" x14ac:dyDescent="0.3">
      <c r="A239" s="895"/>
      <c r="B239" s="895"/>
      <c r="C239" s="895"/>
      <c r="D239" s="895"/>
      <c r="E239" s="895"/>
      <c r="F239" s="895"/>
      <c r="G239" s="895"/>
      <c r="H239" s="895"/>
      <c r="I239" s="895"/>
    </row>
    <row r="240" spans="1:9" x14ac:dyDescent="0.3">
      <c r="A240" s="895"/>
      <c r="B240" s="895"/>
      <c r="C240" s="895"/>
      <c r="D240" s="895"/>
      <c r="E240" s="895"/>
      <c r="F240" s="895"/>
      <c r="G240" s="895"/>
      <c r="H240" s="895"/>
      <c r="I240" s="895"/>
    </row>
    <row r="241" spans="1:9" x14ac:dyDescent="0.3">
      <c r="A241" s="895"/>
      <c r="B241" s="895"/>
      <c r="C241" s="895"/>
      <c r="D241" s="895"/>
      <c r="E241" s="895"/>
      <c r="F241" s="895"/>
      <c r="G241" s="895"/>
      <c r="H241" s="895"/>
      <c r="I241" s="895"/>
    </row>
    <row r="242" spans="1:9" x14ac:dyDescent="0.3">
      <c r="A242" s="895"/>
      <c r="B242" s="895"/>
      <c r="C242" s="895"/>
      <c r="D242" s="895"/>
      <c r="E242" s="895"/>
      <c r="F242" s="895"/>
      <c r="G242" s="895"/>
      <c r="H242" s="895"/>
      <c r="I242" s="895"/>
    </row>
    <row r="243" spans="1:9" x14ac:dyDescent="0.3">
      <c r="A243" s="895"/>
      <c r="B243" s="895"/>
      <c r="C243" s="895"/>
      <c r="D243" s="895"/>
      <c r="E243" s="895"/>
      <c r="F243" s="895"/>
      <c r="G243" s="895"/>
      <c r="H243" s="895"/>
      <c r="I243" s="895"/>
    </row>
    <row r="244" spans="1:9" x14ac:dyDescent="0.3">
      <c r="A244" s="895"/>
      <c r="B244" s="895"/>
      <c r="C244" s="895"/>
      <c r="D244" s="895"/>
      <c r="E244" s="895"/>
      <c r="F244" s="895"/>
      <c r="G244" s="895"/>
      <c r="H244" s="895"/>
      <c r="I244" s="895"/>
    </row>
    <row r="245" spans="1:9" x14ac:dyDescent="0.3">
      <c r="A245" s="895"/>
      <c r="B245" s="895"/>
      <c r="C245" s="895"/>
      <c r="D245" s="895"/>
      <c r="E245" s="895"/>
      <c r="F245" s="895"/>
      <c r="G245" s="895"/>
      <c r="H245" s="895"/>
      <c r="I245" s="895"/>
    </row>
    <row r="246" spans="1:9" x14ac:dyDescent="0.3">
      <c r="A246" s="895"/>
      <c r="B246" s="895"/>
      <c r="C246" s="895"/>
      <c r="D246" s="895"/>
      <c r="E246" s="895"/>
      <c r="F246" s="895"/>
      <c r="G246" s="895"/>
      <c r="H246" s="895"/>
      <c r="I246" s="895"/>
    </row>
    <row r="247" spans="1:9" x14ac:dyDescent="0.3">
      <c r="A247" s="895"/>
      <c r="B247" s="895"/>
      <c r="C247" s="895"/>
      <c r="D247" s="895"/>
      <c r="E247" s="895"/>
      <c r="F247" s="895"/>
      <c r="G247" s="895"/>
      <c r="H247" s="895"/>
      <c r="I247" s="895"/>
    </row>
    <row r="248" spans="1:9" x14ac:dyDescent="0.3">
      <c r="A248" s="895"/>
      <c r="B248" s="895"/>
      <c r="C248" s="895"/>
      <c r="D248" s="895"/>
      <c r="E248" s="895"/>
      <c r="F248" s="895"/>
      <c r="G248" s="895"/>
      <c r="H248" s="895"/>
      <c r="I248" s="895"/>
    </row>
    <row r="249" spans="1:9" x14ac:dyDescent="0.3">
      <c r="A249" s="895"/>
      <c r="B249" s="895"/>
      <c r="C249" s="895"/>
      <c r="D249" s="895"/>
      <c r="E249" s="895"/>
      <c r="F249" s="895"/>
      <c r="G249" s="895"/>
      <c r="H249" s="895"/>
      <c r="I249" s="895"/>
    </row>
    <row r="250" spans="1:9" x14ac:dyDescent="0.3">
      <c r="A250" s="895"/>
      <c r="B250" s="895"/>
      <c r="C250" s="895"/>
      <c r="D250" s="895"/>
      <c r="E250" s="895"/>
      <c r="F250" s="895"/>
      <c r="G250" s="895"/>
      <c r="H250" s="895"/>
      <c r="I250" s="895"/>
    </row>
    <row r="251" spans="1:9" x14ac:dyDescent="0.3">
      <c r="A251" s="895"/>
      <c r="B251" s="895"/>
      <c r="C251" s="895"/>
      <c r="D251" s="895"/>
      <c r="E251" s="895"/>
      <c r="F251" s="895"/>
      <c r="G251" s="895"/>
      <c r="H251" s="895"/>
      <c r="I251" s="895"/>
    </row>
    <row r="252" spans="1:9" x14ac:dyDescent="0.3">
      <c r="A252" s="895"/>
      <c r="B252" s="895"/>
      <c r="C252" s="895"/>
      <c r="D252" s="895"/>
      <c r="E252" s="895"/>
      <c r="F252" s="895"/>
      <c r="G252" s="895"/>
      <c r="H252" s="895"/>
      <c r="I252" s="895"/>
    </row>
    <row r="253" spans="1:9" x14ac:dyDescent="0.3">
      <c r="A253" s="895"/>
      <c r="B253" s="895"/>
      <c r="C253" s="895"/>
      <c r="D253" s="895"/>
      <c r="E253" s="895"/>
      <c r="F253" s="895"/>
      <c r="G253" s="895"/>
      <c r="H253" s="895"/>
      <c r="I253" s="895"/>
    </row>
    <row r="254" spans="1:9" x14ac:dyDescent="0.3">
      <c r="A254" s="895"/>
      <c r="B254" s="895"/>
      <c r="C254" s="895"/>
      <c r="D254" s="895"/>
      <c r="E254" s="895"/>
      <c r="F254" s="895"/>
      <c r="G254" s="895"/>
      <c r="H254" s="895"/>
      <c r="I254" s="895"/>
    </row>
    <row r="255" spans="1:9" x14ac:dyDescent="0.3">
      <c r="A255" s="895"/>
      <c r="B255" s="895"/>
      <c r="C255" s="895"/>
      <c r="D255" s="895"/>
      <c r="E255" s="895"/>
      <c r="F255" s="895"/>
      <c r="G255" s="895"/>
      <c r="H255" s="895"/>
      <c r="I255" s="895"/>
    </row>
    <row r="256" spans="1:9" x14ac:dyDescent="0.3">
      <c r="A256" s="895"/>
      <c r="B256" s="895"/>
      <c r="C256" s="895"/>
      <c r="D256" s="895"/>
      <c r="E256" s="895"/>
      <c r="F256" s="895"/>
      <c r="G256" s="895"/>
      <c r="H256" s="895"/>
      <c r="I256" s="895"/>
    </row>
    <row r="257" spans="1:9" x14ac:dyDescent="0.3">
      <c r="A257" s="895"/>
      <c r="B257" s="895"/>
      <c r="C257" s="895"/>
      <c r="D257" s="895"/>
      <c r="E257" s="895"/>
      <c r="F257" s="895"/>
      <c r="G257" s="895"/>
      <c r="H257" s="895"/>
      <c r="I257" s="895"/>
    </row>
    <row r="258" spans="1:9" x14ac:dyDescent="0.3">
      <c r="A258" s="895"/>
      <c r="B258" s="895"/>
      <c r="C258" s="895"/>
      <c r="D258" s="895"/>
      <c r="E258" s="895"/>
      <c r="F258" s="895"/>
      <c r="G258" s="895"/>
      <c r="H258" s="895"/>
      <c r="I258" s="895"/>
    </row>
    <row r="259" spans="1:9" x14ac:dyDescent="0.3">
      <c r="A259" s="895"/>
      <c r="B259" s="895"/>
      <c r="C259" s="895"/>
      <c r="D259" s="895"/>
      <c r="E259" s="895"/>
      <c r="F259" s="895"/>
      <c r="G259" s="895"/>
      <c r="H259" s="895"/>
      <c r="I259" s="895"/>
    </row>
    <row r="260" spans="1:9" x14ac:dyDescent="0.3">
      <c r="A260" s="895"/>
      <c r="B260" s="895"/>
      <c r="C260" s="895"/>
      <c r="D260" s="895"/>
      <c r="E260" s="895"/>
      <c r="F260" s="895"/>
      <c r="G260" s="895"/>
      <c r="H260" s="895"/>
      <c r="I260" s="895"/>
    </row>
    <row r="261" spans="1:9" x14ac:dyDescent="0.3">
      <c r="A261" s="895"/>
      <c r="B261" s="895"/>
      <c r="C261" s="895"/>
      <c r="D261" s="895"/>
      <c r="E261" s="895"/>
      <c r="F261" s="895"/>
      <c r="G261" s="895"/>
      <c r="H261" s="895"/>
      <c r="I261" s="895"/>
    </row>
    <row r="262" spans="1:9" x14ac:dyDescent="0.3">
      <c r="A262" s="895"/>
      <c r="B262" s="895"/>
      <c r="C262" s="895"/>
      <c r="D262" s="895"/>
      <c r="E262" s="895"/>
      <c r="F262" s="895"/>
      <c r="G262" s="895"/>
      <c r="H262" s="895"/>
      <c r="I262" s="895"/>
    </row>
    <row r="263" spans="1:9" x14ac:dyDescent="0.3">
      <c r="A263" s="895"/>
      <c r="B263" s="895"/>
      <c r="C263" s="895"/>
      <c r="D263" s="895"/>
      <c r="E263" s="895"/>
      <c r="F263" s="895"/>
      <c r="G263" s="895"/>
      <c r="H263" s="895"/>
      <c r="I263" s="895"/>
    </row>
    <row r="264" spans="1:9" x14ac:dyDescent="0.3">
      <c r="A264" s="895"/>
      <c r="B264" s="895"/>
      <c r="C264" s="895"/>
      <c r="D264" s="895"/>
      <c r="E264" s="895"/>
      <c r="F264" s="895"/>
      <c r="G264" s="895"/>
      <c r="H264" s="895"/>
      <c r="I264" s="895"/>
    </row>
    <row r="265" spans="1:9" x14ac:dyDescent="0.3">
      <c r="A265" s="895"/>
      <c r="B265" s="895"/>
      <c r="C265" s="895"/>
      <c r="D265" s="895"/>
      <c r="E265" s="895"/>
      <c r="F265" s="895"/>
      <c r="G265" s="895"/>
      <c r="H265" s="895"/>
      <c r="I265" s="895"/>
    </row>
    <row r="266" spans="1:9" x14ac:dyDescent="0.3">
      <c r="A266" s="895"/>
      <c r="B266" s="895"/>
      <c r="C266" s="895"/>
      <c r="D266" s="895"/>
      <c r="E266" s="895"/>
      <c r="F266" s="895"/>
      <c r="G266" s="895"/>
      <c r="H266" s="895"/>
      <c r="I266" s="895"/>
    </row>
    <row r="267" spans="1:9" x14ac:dyDescent="0.3">
      <c r="A267" s="895"/>
      <c r="B267" s="895"/>
      <c r="C267" s="895"/>
      <c r="D267" s="895"/>
      <c r="E267" s="895"/>
      <c r="F267" s="895"/>
      <c r="G267" s="895"/>
      <c r="H267" s="895"/>
      <c r="I267" s="895"/>
    </row>
    <row r="268" spans="1:9" x14ac:dyDescent="0.3">
      <c r="A268" s="895"/>
      <c r="B268" s="895"/>
      <c r="C268" s="895"/>
      <c r="D268" s="895"/>
      <c r="E268" s="895"/>
      <c r="F268" s="895"/>
      <c r="G268" s="895"/>
      <c r="H268" s="895"/>
      <c r="I268" s="895"/>
    </row>
    <row r="269" spans="1:9" x14ac:dyDescent="0.3">
      <c r="A269" s="895"/>
      <c r="B269" s="895"/>
      <c r="C269" s="895"/>
      <c r="D269" s="895"/>
      <c r="E269" s="895"/>
      <c r="F269" s="895"/>
      <c r="G269" s="895"/>
      <c r="H269" s="895"/>
      <c r="I269" s="895"/>
    </row>
    <row r="270" spans="1:9" x14ac:dyDescent="0.3">
      <c r="A270" s="895"/>
      <c r="B270" s="895"/>
      <c r="C270" s="895"/>
      <c r="D270" s="895"/>
      <c r="E270" s="895"/>
      <c r="F270" s="895"/>
      <c r="G270" s="895"/>
      <c r="H270" s="895"/>
      <c r="I270" s="895"/>
    </row>
    <row r="271" spans="1:9" x14ac:dyDescent="0.3">
      <c r="A271" s="895"/>
      <c r="B271" s="895"/>
      <c r="C271" s="895"/>
      <c r="D271" s="895"/>
      <c r="E271" s="895"/>
      <c r="F271" s="895"/>
      <c r="G271" s="895"/>
      <c r="H271" s="895"/>
      <c r="I271" s="895"/>
    </row>
    <row r="272" spans="1:9" x14ac:dyDescent="0.3">
      <c r="A272" s="895"/>
      <c r="B272" s="895"/>
      <c r="C272" s="895"/>
      <c r="D272" s="895"/>
      <c r="E272" s="895"/>
      <c r="F272" s="895"/>
      <c r="G272" s="895"/>
      <c r="H272" s="895"/>
      <c r="I272" s="895"/>
    </row>
    <row r="273" spans="1:9" x14ac:dyDescent="0.3">
      <c r="A273" s="895"/>
      <c r="B273" s="895"/>
      <c r="C273" s="895"/>
      <c r="D273" s="895"/>
      <c r="E273" s="895"/>
      <c r="F273" s="895"/>
      <c r="G273" s="895"/>
      <c r="H273" s="895"/>
      <c r="I273" s="895"/>
    </row>
    <row r="274" spans="1:9" x14ac:dyDescent="0.3">
      <c r="A274" s="895"/>
      <c r="B274" s="895"/>
      <c r="C274" s="895"/>
      <c r="D274" s="895"/>
      <c r="E274" s="895"/>
      <c r="F274" s="895"/>
      <c r="G274" s="895"/>
      <c r="H274" s="895"/>
      <c r="I274" s="895"/>
    </row>
    <row r="275" spans="1:9" x14ac:dyDescent="0.3">
      <c r="A275" s="895"/>
      <c r="B275" s="895"/>
      <c r="C275" s="895"/>
      <c r="D275" s="895"/>
      <c r="E275" s="895"/>
      <c r="F275" s="895"/>
      <c r="G275" s="895"/>
      <c r="H275" s="895"/>
      <c r="I275" s="895"/>
    </row>
    <row r="276" spans="1:9" x14ac:dyDescent="0.3">
      <c r="A276" s="895"/>
      <c r="B276" s="895"/>
      <c r="C276" s="895"/>
      <c r="D276" s="895"/>
      <c r="E276" s="895"/>
      <c r="F276" s="895"/>
      <c r="G276" s="895"/>
      <c r="H276" s="895"/>
      <c r="I276" s="895"/>
    </row>
    <row r="277" spans="1:9" x14ac:dyDescent="0.3">
      <c r="A277" s="895"/>
      <c r="B277" s="895"/>
      <c r="C277" s="895"/>
      <c r="D277" s="895"/>
      <c r="E277" s="895"/>
      <c r="F277" s="895"/>
      <c r="G277" s="895"/>
      <c r="H277" s="895"/>
      <c r="I277" s="895"/>
    </row>
    <row r="278" spans="1:9" x14ac:dyDescent="0.3">
      <c r="A278" s="895"/>
      <c r="B278" s="895"/>
      <c r="C278" s="895"/>
      <c r="D278" s="895"/>
      <c r="E278" s="895"/>
      <c r="F278" s="895"/>
      <c r="G278" s="895"/>
      <c r="H278" s="895"/>
      <c r="I278" s="895"/>
    </row>
    <row r="279" spans="1:9" x14ac:dyDescent="0.3">
      <c r="A279" s="895"/>
      <c r="B279" s="895"/>
      <c r="C279" s="895"/>
      <c r="D279" s="895"/>
      <c r="E279" s="895"/>
      <c r="F279" s="895"/>
      <c r="G279" s="895"/>
      <c r="H279" s="895"/>
      <c r="I279" s="895"/>
    </row>
  </sheetData>
  <hyperlinks>
    <hyperlink ref="B4" location="SU_A0900" display="SU_A0900"/>
    <hyperlink ref="F2" location="SU_A0900_BOM" display="Back to BOM"/>
  </hyperlinks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1"/>
  <sheetViews>
    <sheetView zoomScale="70" zoomScaleNormal="70" workbookViewId="0">
      <selection activeCell="F2" sqref="F2"/>
    </sheetView>
  </sheetViews>
  <sheetFormatPr baseColWidth="10" defaultRowHeight="14.4" x14ac:dyDescent="0.3"/>
  <cols>
    <col min="2" max="2" width="38.44140625" customWidth="1"/>
    <col min="3" max="3" width="30.6640625" customWidth="1"/>
    <col min="7" max="7" width="35" customWidth="1"/>
    <col min="9" max="9" width="24.44140625" customWidth="1"/>
    <col min="10" max="10" width="10.6640625" customWidth="1"/>
  </cols>
  <sheetData>
    <row r="1" spans="1:15" x14ac:dyDescent="0.3">
      <c r="A1" s="946"/>
      <c r="B1" s="944"/>
      <c r="C1" s="944"/>
      <c r="D1" s="944"/>
      <c r="E1" s="944"/>
      <c r="F1" s="944"/>
      <c r="G1" s="944"/>
      <c r="H1" s="944"/>
      <c r="I1" s="944"/>
      <c r="J1" s="945"/>
      <c r="K1" s="944"/>
      <c r="L1" s="944"/>
      <c r="M1" s="944"/>
      <c r="N1" s="944"/>
      <c r="O1" s="943"/>
    </row>
    <row r="2" spans="1:15" x14ac:dyDescent="0.3">
      <c r="A2" s="942" t="s">
        <v>0</v>
      </c>
      <c r="B2" s="16" t="s">
        <v>37</v>
      </c>
      <c r="C2" s="936"/>
      <c r="D2" s="936"/>
      <c r="E2" s="936"/>
      <c r="F2" s="88" t="s">
        <v>126</v>
      </c>
      <c r="G2" s="936"/>
      <c r="H2" s="936"/>
      <c r="I2" s="936"/>
      <c r="J2" s="915" t="s">
        <v>1</v>
      </c>
      <c r="K2" s="941">
        <v>81</v>
      </c>
      <c r="L2" s="936"/>
      <c r="M2" s="914" t="s">
        <v>16</v>
      </c>
      <c r="N2" s="939">
        <f>N12+I19</f>
        <v>1.6908095579918243</v>
      </c>
      <c r="O2" s="276"/>
    </row>
    <row r="3" spans="1:15" x14ac:dyDescent="0.3">
      <c r="A3" s="938" t="s">
        <v>3</v>
      </c>
      <c r="B3" s="16" t="s">
        <v>129</v>
      </c>
      <c r="C3" s="936"/>
      <c r="D3" s="914" t="s">
        <v>6</v>
      </c>
      <c r="E3" s="88" t="s">
        <v>86</v>
      </c>
      <c r="F3" s="936"/>
      <c r="G3" s="936"/>
      <c r="H3" s="936"/>
      <c r="I3" s="936"/>
      <c r="J3" s="936"/>
      <c r="K3" s="936"/>
      <c r="L3" s="936"/>
      <c r="M3" s="913" t="s">
        <v>4</v>
      </c>
      <c r="N3" s="940">
        <v>2</v>
      </c>
      <c r="O3" s="276"/>
    </row>
    <row r="4" spans="1:15" x14ac:dyDescent="0.3">
      <c r="A4" s="938" t="s">
        <v>5</v>
      </c>
      <c r="B4" s="88" t="str">
        <f>'SU A0900'!B4</f>
        <v>Front Pullrod</v>
      </c>
      <c r="C4" s="936"/>
      <c r="D4" s="913" t="s">
        <v>8</v>
      </c>
      <c r="E4" s="936"/>
      <c r="F4" s="936"/>
      <c r="G4" s="936"/>
      <c r="H4" s="936"/>
      <c r="I4" s="936"/>
      <c r="J4" s="914" t="s">
        <v>6</v>
      </c>
      <c r="K4" s="936"/>
      <c r="L4" s="936"/>
      <c r="M4" s="936"/>
      <c r="N4" s="936"/>
      <c r="O4" s="276"/>
    </row>
    <row r="5" spans="1:15" x14ac:dyDescent="0.3">
      <c r="A5" s="938" t="s">
        <v>15</v>
      </c>
      <c r="B5" s="753" t="s">
        <v>495</v>
      </c>
      <c r="C5" s="936"/>
      <c r="D5" s="913" t="s">
        <v>12</v>
      </c>
      <c r="E5" s="936"/>
      <c r="F5" s="936"/>
      <c r="G5" s="936"/>
      <c r="H5" s="936"/>
      <c r="I5" s="936"/>
      <c r="J5" s="913" t="s">
        <v>8</v>
      </c>
      <c r="K5" s="936"/>
      <c r="L5" s="936"/>
      <c r="M5" s="914" t="s">
        <v>9</v>
      </c>
      <c r="N5" s="939">
        <f>N3*N2</f>
        <v>3.3816191159836486</v>
      </c>
      <c r="O5" s="276"/>
    </row>
    <row r="6" spans="1:15" x14ac:dyDescent="0.3">
      <c r="A6" s="938" t="s">
        <v>7</v>
      </c>
      <c r="B6" t="s">
        <v>498</v>
      </c>
      <c r="C6" s="936"/>
      <c r="D6" s="936"/>
      <c r="E6" s="936"/>
      <c r="F6" s="936"/>
      <c r="G6" s="936"/>
      <c r="H6" s="936"/>
      <c r="I6" s="936"/>
      <c r="J6" s="913" t="s">
        <v>12</v>
      </c>
      <c r="K6" s="936"/>
      <c r="L6" s="936"/>
      <c r="M6" s="936"/>
      <c r="N6" s="936"/>
      <c r="O6" s="276"/>
    </row>
    <row r="7" spans="1:15" x14ac:dyDescent="0.3">
      <c r="A7" s="938" t="s">
        <v>10</v>
      </c>
      <c r="B7" s="16" t="s">
        <v>11</v>
      </c>
      <c r="C7" s="936"/>
      <c r="D7" s="936"/>
      <c r="E7" s="936"/>
      <c r="F7" s="936"/>
      <c r="G7" s="936"/>
      <c r="H7" s="936"/>
      <c r="I7" s="936"/>
      <c r="J7" s="936"/>
      <c r="K7" s="936"/>
      <c r="L7" s="936"/>
      <c r="M7" s="936"/>
      <c r="N7" s="936"/>
      <c r="O7" s="276"/>
    </row>
    <row r="8" spans="1:15" x14ac:dyDescent="0.3">
      <c r="A8" s="938" t="s">
        <v>13</v>
      </c>
      <c r="B8" s="16"/>
      <c r="C8" s="936"/>
      <c r="D8" s="936"/>
      <c r="E8" s="936"/>
      <c r="F8" s="936"/>
      <c r="G8" s="936"/>
      <c r="H8" s="936"/>
      <c r="I8" s="936"/>
      <c r="J8" s="936"/>
      <c r="K8" s="936"/>
      <c r="L8" s="936"/>
      <c r="M8" s="936"/>
      <c r="N8" s="936"/>
      <c r="O8" s="276"/>
    </row>
    <row r="9" spans="1:15" x14ac:dyDescent="0.3">
      <c r="A9" s="937"/>
      <c r="B9" s="936"/>
      <c r="C9" s="936"/>
      <c r="D9" s="936"/>
      <c r="E9" s="936"/>
      <c r="F9" s="936"/>
      <c r="G9" s="936"/>
      <c r="H9" s="936"/>
      <c r="I9" s="936"/>
      <c r="J9" s="936"/>
      <c r="K9" s="936"/>
      <c r="L9" s="936"/>
      <c r="M9" s="936"/>
      <c r="N9" s="936"/>
      <c r="O9" s="276"/>
    </row>
    <row r="10" spans="1:15" x14ac:dyDescent="0.3">
      <c r="A10" s="931" t="s">
        <v>14</v>
      </c>
      <c r="B10" s="903" t="s">
        <v>19</v>
      </c>
      <c r="C10" s="903" t="s">
        <v>20</v>
      </c>
      <c r="D10" s="903" t="s">
        <v>21</v>
      </c>
      <c r="E10" s="903" t="s">
        <v>22</v>
      </c>
      <c r="F10" s="903" t="s">
        <v>23</v>
      </c>
      <c r="G10" s="903" t="s">
        <v>24</v>
      </c>
      <c r="H10" s="903" t="s">
        <v>25</v>
      </c>
      <c r="I10" s="903" t="s">
        <v>26</v>
      </c>
      <c r="J10" s="903" t="s">
        <v>27</v>
      </c>
      <c r="K10" s="903" t="s">
        <v>28</v>
      </c>
      <c r="L10" s="903" t="s">
        <v>29</v>
      </c>
      <c r="M10" s="903" t="s">
        <v>17</v>
      </c>
      <c r="N10" s="903" t="s">
        <v>18</v>
      </c>
      <c r="O10" s="276"/>
    </row>
    <row r="11" spans="1:15" ht="16.2" customHeight="1" x14ac:dyDescent="0.3">
      <c r="A11" s="929">
        <v>10</v>
      </c>
      <c r="B11" s="319" t="s">
        <v>278</v>
      </c>
      <c r="C11" s="573" t="s">
        <v>490</v>
      </c>
      <c r="D11" s="305">
        <v>2.25</v>
      </c>
      <c r="E11" s="935">
        <f>J11*K11*L11</f>
        <v>6.9915359107477468E-2</v>
      </c>
      <c r="F11" s="935" t="s">
        <v>212</v>
      </c>
      <c r="G11" s="322"/>
      <c r="H11" s="323"/>
      <c r="I11" s="934" t="s">
        <v>489</v>
      </c>
      <c r="J11" s="984">
        <f>PI()*(9*10^-3)^2</f>
        <v>2.5446900494077327E-4</v>
      </c>
      <c r="K11" s="890">
        <v>3.5000000000000003E-2</v>
      </c>
      <c r="L11" s="891">
        <v>7850</v>
      </c>
      <c r="M11" s="933">
        <v>1</v>
      </c>
      <c r="N11" s="286">
        <f>D11*E11*M11</f>
        <v>0.15730955799182431</v>
      </c>
      <c r="O11" s="932"/>
    </row>
    <row r="12" spans="1:15" x14ac:dyDescent="0.3">
      <c r="A12" s="922"/>
      <c r="B12" s="921"/>
      <c r="C12" s="921"/>
      <c r="D12" s="921"/>
      <c r="E12" s="921"/>
      <c r="F12" s="921"/>
      <c r="G12" s="921"/>
      <c r="H12" s="921"/>
      <c r="I12" s="921"/>
      <c r="J12" s="921"/>
      <c r="K12" s="921"/>
      <c r="L12" s="921"/>
      <c r="M12" s="898" t="s">
        <v>18</v>
      </c>
      <c r="N12" s="904">
        <f>N11</f>
        <v>0.15730955799182431</v>
      </c>
      <c r="O12" s="276"/>
    </row>
    <row r="13" spans="1:15" x14ac:dyDescent="0.3">
      <c r="A13" s="931" t="s">
        <v>14</v>
      </c>
      <c r="B13" s="903" t="s">
        <v>31</v>
      </c>
      <c r="C13" s="903" t="s">
        <v>20</v>
      </c>
      <c r="D13" s="903" t="s">
        <v>21</v>
      </c>
      <c r="E13" s="903" t="s">
        <v>32</v>
      </c>
      <c r="F13" s="903" t="s">
        <v>17</v>
      </c>
      <c r="G13" s="903" t="s">
        <v>33</v>
      </c>
      <c r="H13" s="903" t="s">
        <v>34</v>
      </c>
      <c r="I13" s="903" t="s">
        <v>18</v>
      </c>
      <c r="J13" s="921"/>
      <c r="K13" s="921"/>
      <c r="L13" s="921"/>
      <c r="M13" s="921"/>
      <c r="N13" s="921"/>
      <c r="O13" s="276"/>
    </row>
    <row r="14" spans="1:15" ht="15" customHeight="1" x14ac:dyDescent="0.3">
      <c r="A14" s="926">
        <v>10</v>
      </c>
      <c r="B14" s="288" t="s">
        <v>39</v>
      </c>
      <c r="C14" s="927" t="s">
        <v>488</v>
      </c>
      <c r="D14" s="285">
        <v>1.3</v>
      </c>
      <c r="E14" s="288" t="s">
        <v>32</v>
      </c>
      <c r="F14" s="884">
        <v>1</v>
      </c>
      <c r="G14" s="930" t="s">
        <v>420</v>
      </c>
      <c r="H14" s="884">
        <v>0.25</v>
      </c>
      <c r="I14" s="224">
        <f>D14*F14*H14</f>
        <v>0.32500000000000001</v>
      </c>
      <c r="J14" s="532"/>
      <c r="K14" s="532"/>
      <c r="L14" s="532"/>
      <c r="M14" s="532"/>
      <c r="N14" s="532"/>
      <c r="O14" s="919"/>
    </row>
    <row r="15" spans="1:15" ht="13.2" customHeight="1" x14ac:dyDescent="0.3">
      <c r="A15" s="926">
        <v>20</v>
      </c>
      <c r="B15" s="288" t="s">
        <v>159</v>
      </c>
      <c r="C15" s="927" t="s">
        <v>487</v>
      </c>
      <c r="D15" s="285">
        <v>0.04</v>
      </c>
      <c r="E15" s="288" t="s">
        <v>161</v>
      </c>
      <c r="F15" s="884">
        <v>5.5</v>
      </c>
      <c r="G15" s="884" t="s">
        <v>413</v>
      </c>
      <c r="H15" s="884">
        <v>3</v>
      </c>
      <c r="I15" s="224">
        <f>D15*F15*H15</f>
        <v>0.66</v>
      </c>
      <c r="J15" s="532"/>
      <c r="K15" s="532"/>
      <c r="L15" s="532"/>
      <c r="M15" s="532"/>
      <c r="N15" s="532"/>
      <c r="O15" s="919"/>
    </row>
    <row r="16" spans="1:15" ht="14.4" customHeight="1" x14ac:dyDescent="0.3">
      <c r="A16" s="929">
        <v>30</v>
      </c>
      <c r="B16" s="886" t="s">
        <v>486</v>
      </c>
      <c r="C16" s="925" t="s">
        <v>485</v>
      </c>
      <c r="D16" s="285">
        <v>0.65</v>
      </c>
      <c r="E16" s="886" t="s">
        <v>32</v>
      </c>
      <c r="F16" s="924">
        <v>1</v>
      </c>
      <c r="G16" s="288" t="s">
        <v>420</v>
      </c>
      <c r="H16" s="884">
        <v>0.25</v>
      </c>
      <c r="I16" s="224">
        <f>D16*F16*H16</f>
        <v>0.16250000000000001</v>
      </c>
      <c r="J16" s="525"/>
      <c r="K16" s="525"/>
      <c r="L16" s="525"/>
      <c r="M16" s="525"/>
      <c r="N16" s="525"/>
      <c r="O16" s="928"/>
    </row>
    <row r="17" spans="1:15" ht="16.8" customHeight="1" x14ac:dyDescent="0.3">
      <c r="A17" s="926">
        <v>40</v>
      </c>
      <c r="B17" s="288" t="s">
        <v>159</v>
      </c>
      <c r="C17" s="927" t="s">
        <v>267</v>
      </c>
      <c r="D17" s="285">
        <v>0.04</v>
      </c>
      <c r="E17" s="288" t="s">
        <v>161</v>
      </c>
      <c r="F17" s="884">
        <v>0.3</v>
      </c>
      <c r="G17" s="884" t="s">
        <v>413</v>
      </c>
      <c r="H17" s="884">
        <v>3</v>
      </c>
      <c r="I17" s="224">
        <f>D17*F17*H17</f>
        <v>3.6000000000000004E-2</v>
      </c>
      <c r="J17" s="528"/>
      <c r="K17" s="528"/>
      <c r="L17" s="528"/>
      <c r="M17" s="528"/>
      <c r="N17" s="528"/>
      <c r="O17" s="919"/>
    </row>
    <row r="18" spans="1:15" ht="15" customHeight="1" x14ac:dyDescent="0.3">
      <c r="A18" s="926">
        <v>50</v>
      </c>
      <c r="B18" s="925" t="s">
        <v>484</v>
      </c>
      <c r="C18" s="925" t="s">
        <v>483</v>
      </c>
      <c r="D18" s="285">
        <v>0.35</v>
      </c>
      <c r="E18" s="886" t="s">
        <v>271</v>
      </c>
      <c r="F18" s="924">
        <v>1</v>
      </c>
      <c r="G18" s="744"/>
      <c r="H18" s="884">
        <v>1</v>
      </c>
      <c r="I18" s="224">
        <f>D18*F18*H18</f>
        <v>0.35</v>
      </c>
      <c r="J18" s="530"/>
      <c r="K18" s="530"/>
      <c r="L18" s="530"/>
      <c r="M18" s="530"/>
      <c r="N18" s="530"/>
      <c r="O18" s="923"/>
    </row>
    <row r="19" spans="1:15" x14ac:dyDescent="0.3">
      <c r="A19" s="922"/>
      <c r="B19" s="921"/>
      <c r="C19" s="921"/>
      <c r="D19" s="921"/>
      <c r="E19" s="921"/>
      <c r="F19" s="921"/>
      <c r="G19" s="921"/>
      <c r="H19" s="898" t="s">
        <v>18</v>
      </c>
      <c r="I19" s="897">
        <f>SUM(I14:I18)</f>
        <v>1.5335000000000001</v>
      </c>
      <c r="J19" s="921"/>
      <c r="K19" s="921"/>
      <c r="L19" s="921"/>
      <c r="M19" s="921"/>
      <c r="N19" s="921"/>
      <c r="O19" s="276"/>
    </row>
    <row r="20" spans="1:15" x14ac:dyDescent="0.3">
      <c r="A20" s="920"/>
      <c r="B20" s="528"/>
      <c r="C20" s="528"/>
      <c r="D20" s="528"/>
      <c r="E20" s="528"/>
      <c r="F20" s="528"/>
      <c r="G20" s="528"/>
      <c r="H20" s="528"/>
      <c r="I20" s="530"/>
      <c r="J20" s="528"/>
      <c r="K20" s="528"/>
      <c r="L20" s="528"/>
      <c r="M20" s="528"/>
      <c r="N20" s="528"/>
      <c r="O20" s="919"/>
    </row>
    <row r="21" spans="1:15" ht="15" thickBot="1" x14ac:dyDescent="0.35">
      <c r="A21" s="918"/>
      <c r="B21" s="917"/>
      <c r="C21" s="917"/>
      <c r="D21" s="917"/>
      <c r="E21" s="917"/>
      <c r="F21" s="917"/>
      <c r="G21" s="917"/>
      <c r="H21" s="917"/>
      <c r="I21" s="917"/>
      <c r="J21" s="917"/>
      <c r="K21" s="917"/>
      <c r="L21" s="917"/>
      <c r="M21" s="917"/>
      <c r="N21" s="917"/>
      <c r="O21" s="916"/>
    </row>
  </sheetData>
  <hyperlinks>
    <hyperlink ref="E3" location="dSU_09002" display="Drawing"/>
    <hyperlink ref="B4" location="SU_A0900" display="SU_A0900"/>
    <hyperlink ref="F2" location="SU_A0900_BOM" display="Back to BOM"/>
  </hyperlinks>
  <pageMargins left="0.7" right="0.7" top="0.75" bottom="0.75" header="0.3" footer="0.3"/>
  <drawing r:id="rId1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502</v>
      </c>
    </row>
  </sheetData>
  <hyperlinks>
    <hyperlink ref="B1" location="SU_09002" display="SU_09002"/>
  </hyperlinks>
  <pageMargins left="0.7" right="0.7" top="0.75" bottom="0.75" header="0.3" footer="0.3"/>
  <drawing r:id="rId1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P40"/>
  <sheetViews>
    <sheetView zoomScale="70" zoomScaleNormal="70" workbookViewId="0">
      <selection activeCell="G2" sqref="G2"/>
    </sheetView>
  </sheetViews>
  <sheetFormatPr baseColWidth="10" defaultRowHeight="14.4" x14ac:dyDescent="0.3"/>
  <cols>
    <col min="1" max="1" width="11.5546875" customWidth="1"/>
    <col min="2" max="2" width="34.88671875" customWidth="1"/>
    <col min="3" max="3" width="17.44140625" customWidth="1"/>
    <col min="5" max="5" width="15.33203125" customWidth="1"/>
    <col min="7" max="7" width="37.33203125" customWidth="1"/>
    <col min="9" max="9" width="27.44140625" customWidth="1"/>
    <col min="12" max="12" width="7.77734375" customWidth="1"/>
    <col min="14" max="14" width="10.5546875" customWidth="1"/>
    <col min="15" max="15" width="6.4414062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N12+I17</f>
        <v>0.75842010136988647</v>
      </c>
      <c r="O2" s="62"/>
    </row>
    <row r="3" spans="1:16" x14ac:dyDescent="0.3">
      <c r="A3" s="102" t="s">
        <v>3</v>
      </c>
      <c r="B3" s="16" t="str">
        <f>'SU A0900'!B3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6" x14ac:dyDescent="0.3">
      <c r="A4" s="102" t="s">
        <v>5</v>
      </c>
      <c r="B4" s="88" t="str">
        <f>'SU A0900'!B4</f>
        <v>Front Pullrod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6" x14ac:dyDescent="0.3">
      <c r="A5" s="102" t="s">
        <v>15</v>
      </c>
      <c r="B5" s="28" t="s">
        <v>193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1.5168402027397729</v>
      </c>
      <c r="O5" s="62"/>
    </row>
    <row r="6" spans="1:16" x14ac:dyDescent="0.3">
      <c r="A6" s="102" t="s">
        <v>7</v>
      </c>
      <c r="B6" t="s">
        <v>499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6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6" x14ac:dyDescent="0.3">
      <c r="A11" s="976">
        <v>10</v>
      </c>
      <c r="B11" s="682" t="s">
        <v>375</v>
      </c>
      <c r="C11" s="20" t="s">
        <v>492</v>
      </c>
      <c r="D11" s="289">
        <v>2.25</v>
      </c>
      <c r="E11" s="975">
        <f>L11*J11*K11</f>
        <v>2.5253378386616194E-2</v>
      </c>
      <c r="F11" s="20" t="s">
        <v>212</v>
      </c>
      <c r="G11" s="20"/>
      <c r="H11" s="290"/>
      <c r="I11" s="974" t="s">
        <v>491</v>
      </c>
      <c r="J11" s="985">
        <f>PI()*16*16/1000000</f>
        <v>8.0424771931898709E-4</v>
      </c>
      <c r="K11" s="985">
        <v>4.0000000000000001E-3</v>
      </c>
      <c r="L11" s="686">
        <v>7850</v>
      </c>
      <c r="M11" s="23">
        <v>1</v>
      </c>
      <c r="N11" s="289">
        <f>IF(J11="",D11*M11,D11*J11*K11*L11*M11)</f>
        <v>5.6820101369886439E-2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5.6820101369886439E-2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973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6" x14ac:dyDescent="0.3">
      <c r="A15" s="902">
        <v>10</v>
      </c>
      <c r="B15" s="910" t="s">
        <v>418</v>
      </c>
      <c r="C15" s="910"/>
      <c r="D15" s="905">
        <v>1.3</v>
      </c>
      <c r="E15" s="910" t="s">
        <v>35</v>
      </c>
      <c r="F15" s="910">
        <v>1</v>
      </c>
      <c r="G15" s="910" t="s">
        <v>452</v>
      </c>
      <c r="H15" s="910">
        <f>1/2</f>
        <v>0.5</v>
      </c>
      <c r="I15" s="905">
        <f>D15*F15*H15</f>
        <v>0.65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902">
        <v>20</v>
      </c>
      <c r="B16" s="910" t="s">
        <v>159</v>
      </c>
      <c r="C16" s="910"/>
      <c r="D16" s="905">
        <v>0.04</v>
      </c>
      <c r="E16" s="910" t="s">
        <v>161</v>
      </c>
      <c r="F16" s="910">
        <v>0.43</v>
      </c>
      <c r="G16" s="910" t="s">
        <v>413</v>
      </c>
      <c r="H16" s="910">
        <v>3</v>
      </c>
      <c r="I16" s="905">
        <f>D16*F16*H16</f>
        <v>5.16E-2</v>
      </c>
      <c r="J16" s="56"/>
      <c r="K16" s="56"/>
      <c r="L16" s="56"/>
      <c r="M16" s="56"/>
      <c r="N16" s="56"/>
      <c r="O16" s="62"/>
    </row>
    <row r="17" spans="1:16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9">
        <f>SUM(I15:I16)</f>
        <v>0.7016</v>
      </c>
      <c r="J17" s="24"/>
      <c r="K17" s="24"/>
      <c r="L17" s="24"/>
      <c r="M17" s="24"/>
      <c r="N17" s="24"/>
      <c r="O17" s="62"/>
    </row>
    <row r="18" spans="1:16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  <row r="22" spans="1:16" x14ac:dyDescent="0.3">
      <c r="A22" s="948"/>
      <c r="B22" s="948"/>
      <c r="C22" s="948"/>
      <c r="D22" s="948"/>
      <c r="E22" s="948"/>
      <c r="F22" s="948"/>
      <c r="G22" s="948"/>
      <c r="H22" s="948"/>
      <c r="I22" s="948"/>
      <c r="J22" s="948"/>
      <c r="K22" s="948"/>
      <c r="L22" s="948"/>
      <c r="M22" s="948"/>
      <c r="N22" s="948"/>
      <c r="O22" s="948"/>
      <c r="P22" s="948"/>
    </row>
    <row r="23" spans="1:16" x14ac:dyDescent="0.3">
      <c r="A23" s="948"/>
      <c r="B23" s="953"/>
      <c r="C23" s="949"/>
      <c r="D23" s="949"/>
      <c r="E23" s="949"/>
      <c r="F23" s="949"/>
      <c r="G23" s="969"/>
      <c r="H23" s="949"/>
      <c r="I23" s="949"/>
      <c r="J23" s="949"/>
      <c r="K23" s="972"/>
      <c r="L23" s="952"/>
      <c r="M23" s="949"/>
      <c r="N23" s="953"/>
      <c r="O23" s="960"/>
      <c r="P23" s="948"/>
    </row>
    <row r="24" spans="1:16" x14ac:dyDescent="0.3">
      <c r="A24" s="948"/>
      <c r="B24" s="953"/>
      <c r="C24" s="949"/>
      <c r="D24" s="971"/>
      <c r="E24" s="969"/>
      <c r="F24" s="949"/>
      <c r="G24" s="949"/>
      <c r="H24" s="949"/>
      <c r="I24" s="949"/>
      <c r="J24" s="949"/>
      <c r="K24" s="949"/>
      <c r="L24" s="949"/>
      <c r="M24" s="949"/>
      <c r="N24" s="953"/>
      <c r="O24" s="970"/>
      <c r="P24" s="948"/>
    </row>
    <row r="25" spans="1:16" x14ac:dyDescent="0.3">
      <c r="A25" s="948"/>
      <c r="B25" s="953"/>
      <c r="C25" s="969"/>
      <c r="D25" s="949"/>
      <c r="E25" s="953"/>
      <c r="F25" s="949"/>
      <c r="G25" s="949"/>
      <c r="H25" s="949"/>
      <c r="I25" s="949"/>
      <c r="J25" s="949"/>
      <c r="K25" s="953"/>
      <c r="L25" s="949"/>
      <c r="M25" s="949"/>
      <c r="N25" s="949"/>
      <c r="O25" s="950"/>
      <c r="P25" s="948"/>
    </row>
    <row r="26" spans="1:16" x14ac:dyDescent="0.3">
      <c r="A26" s="948"/>
      <c r="B26" s="953"/>
      <c r="C26" s="968"/>
      <c r="D26" s="949"/>
      <c r="E26" s="953"/>
      <c r="F26" s="949"/>
      <c r="G26" s="949"/>
      <c r="H26" s="949"/>
      <c r="I26" s="949"/>
      <c r="J26" s="949"/>
      <c r="K26" s="953"/>
      <c r="L26" s="949"/>
      <c r="M26" s="949"/>
      <c r="N26" s="953"/>
      <c r="O26" s="960"/>
      <c r="P26" s="948"/>
    </row>
    <row r="27" spans="1:16" x14ac:dyDescent="0.3">
      <c r="A27" s="948"/>
      <c r="B27" s="953"/>
      <c r="C27" s="967"/>
      <c r="D27" s="949"/>
      <c r="E27" s="949"/>
      <c r="F27" s="949"/>
      <c r="G27" s="949"/>
      <c r="H27" s="949"/>
      <c r="I27" s="949"/>
      <c r="J27" s="949"/>
      <c r="K27" s="953"/>
      <c r="L27" s="949"/>
      <c r="M27" s="949"/>
      <c r="N27" s="949"/>
      <c r="O27" s="949"/>
      <c r="P27" s="948"/>
    </row>
    <row r="28" spans="1:16" x14ac:dyDescent="0.3">
      <c r="A28" s="948"/>
      <c r="B28" s="953"/>
      <c r="C28" s="949"/>
      <c r="D28" s="949"/>
      <c r="E28" s="949"/>
      <c r="F28" s="949"/>
      <c r="G28" s="949"/>
      <c r="H28" s="949"/>
      <c r="I28" s="949"/>
      <c r="J28" s="949"/>
      <c r="K28" s="949"/>
      <c r="L28" s="949"/>
      <c r="M28" s="949"/>
      <c r="N28" s="949"/>
      <c r="O28" s="949"/>
      <c r="P28" s="948"/>
    </row>
    <row r="29" spans="1:16" x14ac:dyDescent="0.3">
      <c r="A29" s="948"/>
      <c r="B29" s="953"/>
      <c r="C29" s="950"/>
      <c r="D29" s="950"/>
      <c r="E29" s="950"/>
      <c r="F29" s="950"/>
      <c r="G29" s="950"/>
      <c r="H29" s="950"/>
      <c r="I29" s="950"/>
      <c r="J29" s="950"/>
      <c r="K29" s="950"/>
      <c r="L29" s="950"/>
      <c r="M29" s="950"/>
      <c r="N29" s="950"/>
      <c r="O29" s="950"/>
      <c r="P29" s="948"/>
    </row>
    <row r="30" spans="1:16" x14ac:dyDescent="0.3">
      <c r="A30" s="948"/>
      <c r="B30" s="948"/>
      <c r="C30" s="948"/>
      <c r="D30" s="948"/>
      <c r="E30" s="948"/>
      <c r="F30" s="948"/>
      <c r="G30" s="948"/>
      <c r="H30" s="948"/>
      <c r="I30" s="948"/>
      <c r="J30" s="948"/>
      <c r="K30" s="948"/>
      <c r="L30" s="948"/>
      <c r="M30" s="948"/>
      <c r="N30" s="948"/>
      <c r="O30" s="948"/>
      <c r="P30" s="948"/>
    </row>
    <row r="31" spans="1:16" x14ac:dyDescent="0.3">
      <c r="A31" s="948"/>
      <c r="B31" s="953"/>
      <c r="C31" s="953"/>
      <c r="D31" s="953"/>
      <c r="E31" s="953"/>
      <c r="F31" s="953"/>
      <c r="G31" s="953"/>
      <c r="H31" s="953"/>
      <c r="I31" s="953"/>
      <c r="J31" s="953"/>
      <c r="K31" s="953"/>
      <c r="L31" s="953"/>
      <c r="M31" s="953"/>
      <c r="N31" s="953"/>
      <c r="O31" s="953"/>
      <c r="P31" s="948"/>
    </row>
    <row r="32" spans="1:16" x14ac:dyDescent="0.3">
      <c r="A32" s="948"/>
      <c r="B32" s="949"/>
      <c r="C32" s="949"/>
      <c r="D32" s="949"/>
      <c r="E32" s="956"/>
      <c r="F32" s="966"/>
      <c r="G32" s="949"/>
      <c r="H32" s="949"/>
      <c r="I32" s="965"/>
      <c r="J32" s="964"/>
      <c r="K32" s="963"/>
      <c r="L32" s="962"/>
      <c r="M32" s="961"/>
      <c r="N32" s="961"/>
      <c r="O32" s="960"/>
      <c r="P32" s="948"/>
    </row>
    <row r="33" spans="1:16" x14ac:dyDescent="0.3">
      <c r="A33" s="948"/>
      <c r="B33" s="953"/>
      <c r="C33" s="953"/>
      <c r="D33" s="953"/>
      <c r="E33" s="953"/>
      <c r="F33" s="953"/>
      <c r="G33" s="953"/>
      <c r="H33" s="953"/>
      <c r="I33" s="953"/>
      <c r="J33" s="953"/>
      <c r="K33" s="953"/>
      <c r="L33" s="953"/>
      <c r="M33" s="953"/>
      <c r="N33" s="955"/>
      <c r="O33" s="954"/>
      <c r="P33" s="948"/>
    </row>
    <row r="34" spans="1:16" x14ac:dyDescent="0.3">
      <c r="A34" s="948"/>
      <c r="B34" s="948"/>
      <c r="C34" s="948"/>
      <c r="D34" s="948"/>
      <c r="E34" s="948"/>
      <c r="F34" s="948"/>
      <c r="G34" s="948"/>
      <c r="H34" s="948"/>
      <c r="I34" s="948"/>
      <c r="J34" s="948"/>
      <c r="K34" s="948"/>
      <c r="L34" s="948"/>
      <c r="M34" s="948"/>
      <c r="N34" s="948"/>
      <c r="O34" s="948"/>
      <c r="P34" s="948"/>
    </row>
    <row r="35" spans="1:16" x14ac:dyDescent="0.3">
      <c r="A35" s="948"/>
      <c r="B35" s="953"/>
      <c r="C35" s="953"/>
      <c r="D35" s="953"/>
      <c r="E35" s="953"/>
      <c r="F35" s="953"/>
      <c r="G35" s="953"/>
      <c r="H35" s="953"/>
      <c r="I35" s="953"/>
      <c r="J35" s="953"/>
      <c r="K35" s="953"/>
      <c r="L35" s="953"/>
      <c r="M35" s="953"/>
      <c r="N35" s="953"/>
      <c r="O35" s="953"/>
      <c r="P35" s="948"/>
    </row>
    <row r="36" spans="1:16" x14ac:dyDescent="0.3">
      <c r="A36" s="948"/>
      <c r="B36" s="949"/>
      <c r="C36" s="681"/>
      <c r="D36" s="959"/>
      <c r="E36" s="956"/>
      <c r="F36" s="949"/>
      <c r="G36" s="949"/>
      <c r="H36" s="957"/>
      <c r="I36" s="958"/>
      <c r="J36" s="956"/>
      <c r="K36" s="950"/>
      <c r="L36" s="950"/>
      <c r="M36" s="950"/>
      <c r="N36" s="950"/>
      <c r="O36" s="950"/>
      <c r="P36" s="948"/>
    </row>
    <row r="37" spans="1:16" x14ac:dyDescent="0.3">
      <c r="A37" s="948"/>
      <c r="B37" s="949"/>
      <c r="C37" s="681"/>
      <c r="D37" s="959"/>
      <c r="E37" s="956"/>
      <c r="F37" s="949"/>
      <c r="G37" s="958"/>
      <c r="H37" s="957"/>
      <c r="I37" s="949"/>
      <c r="J37" s="956"/>
      <c r="K37" s="950"/>
      <c r="L37" s="950"/>
      <c r="M37" s="950"/>
      <c r="N37" s="950"/>
      <c r="O37" s="950"/>
      <c r="P37" s="948"/>
    </row>
    <row r="38" spans="1:16" x14ac:dyDescent="0.3">
      <c r="A38" s="948"/>
      <c r="B38" s="953"/>
      <c r="C38" s="953"/>
      <c r="D38" s="953"/>
      <c r="E38" s="953"/>
      <c r="F38" s="953"/>
      <c r="G38" s="953"/>
      <c r="H38" s="953"/>
      <c r="I38" s="955"/>
      <c r="J38" s="954"/>
      <c r="K38" s="953"/>
      <c r="L38" s="953"/>
      <c r="M38" s="953"/>
      <c r="N38" s="953"/>
      <c r="O38" s="953"/>
      <c r="P38" s="948"/>
    </row>
    <row r="39" spans="1:16" x14ac:dyDescent="0.3">
      <c r="A39" s="948"/>
      <c r="B39" s="950"/>
      <c r="C39" s="950"/>
      <c r="D39" s="950"/>
      <c r="E39" s="950"/>
      <c r="F39" s="950"/>
      <c r="G39" s="950"/>
      <c r="H39" s="950"/>
      <c r="I39" s="952"/>
      <c r="J39" s="951"/>
      <c r="K39" s="950"/>
      <c r="L39" s="949"/>
      <c r="M39" s="949"/>
      <c r="N39" s="949"/>
      <c r="O39" s="949"/>
      <c r="P39" s="948"/>
    </row>
    <row r="40" spans="1:16" x14ac:dyDescent="0.3">
      <c r="B40" s="947"/>
      <c r="C40" s="947"/>
      <c r="D40" s="947"/>
      <c r="E40" s="947"/>
      <c r="F40" s="947"/>
      <c r="G40" s="947"/>
      <c r="H40" s="947"/>
      <c r="I40" s="947"/>
      <c r="J40" s="947"/>
      <c r="K40" s="947"/>
      <c r="L40" s="947"/>
      <c r="M40" s="947"/>
      <c r="N40" s="947"/>
      <c r="O40" s="947"/>
    </row>
  </sheetData>
  <hyperlinks>
    <hyperlink ref="E3" location="dSU_09003" display="Drawing"/>
    <hyperlink ref="B4" location="SU_A0900" display="SU_A0900"/>
    <hyperlink ref="G2" location="SU_A0900_BOM" display="Back to BOM"/>
  </hyperlinks>
  <pageMargins left="0.7" right="0.7" top="0.75" bottom="0.75" header="0.3" footer="0.3"/>
  <drawing r:id="rId1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503</v>
      </c>
    </row>
  </sheetData>
  <hyperlinks>
    <hyperlink ref="B1" location="SU_09003" display="SU_09003"/>
  </hyperlink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A2" sqref="A2"/>
    </sheetView>
  </sheetViews>
  <sheetFormatPr baseColWidth="10" defaultRowHeight="14.4" x14ac:dyDescent="0.3"/>
  <cols>
    <col min="1" max="1" width="22.5546875" customWidth="1"/>
  </cols>
  <sheetData>
    <row r="1" spans="1:2" x14ac:dyDescent="0.3">
      <c r="A1" t="s">
        <v>170</v>
      </c>
      <c r="B1" s="89" t="s">
        <v>172</v>
      </c>
    </row>
  </sheetData>
  <hyperlinks>
    <hyperlink ref="B1" location="SU_01005" display="SU_01005"/>
  </hyperlinks>
  <pageMargins left="0.7" right="0.7" top="0.75" bottom="0.75" header="0.3" footer="0.3"/>
  <pageSetup paperSize="9" orientation="portrait" r:id="rId1"/>
  <drawing r:id="rId2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8"/>
  <sheetViews>
    <sheetView workbookViewId="0">
      <selection activeCell="G2" sqref="G2"/>
    </sheetView>
  </sheetViews>
  <sheetFormatPr baseColWidth="10" defaultRowHeight="14.4" x14ac:dyDescent="0.3"/>
  <cols>
    <col min="2" max="2" width="17.33203125" customWidth="1"/>
    <col min="3" max="3" width="11.88671875" customWidth="1"/>
    <col min="7" max="7" width="18.77734375" customWidth="1"/>
    <col min="8" max="8" width="9.5546875" customWidth="1"/>
    <col min="9" max="9" width="12.6640625" customWidth="1"/>
    <col min="15" max="15" width="6.886718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N12+I17</f>
        <v>0.85844020273977284</v>
      </c>
      <c r="O2" s="62"/>
    </row>
    <row r="3" spans="1:15" x14ac:dyDescent="0.3">
      <c r="A3" s="102" t="s">
        <v>3</v>
      </c>
      <c r="B3" s="16" t="str">
        <f>'SU A0900'!B3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5" x14ac:dyDescent="0.3">
      <c r="A4" s="102" t="s">
        <v>5</v>
      </c>
      <c r="B4" s="88" t="str">
        <f>'SU A0900'!B4</f>
        <v>Front Pullrod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28" t="s">
        <v>192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1.7168804054795457</v>
      </c>
      <c r="O5" s="62"/>
    </row>
    <row r="6" spans="1:15" x14ac:dyDescent="0.3">
      <c r="A6" s="102" t="s">
        <v>7</v>
      </c>
      <c r="B6" t="s">
        <v>500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ht="29.4" customHeight="1" x14ac:dyDescent="0.3">
      <c r="A11" s="986">
        <v>10</v>
      </c>
      <c r="B11" s="987" t="s">
        <v>375</v>
      </c>
      <c r="C11" s="988" t="s">
        <v>492</v>
      </c>
      <c r="D11" s="32">
        <v>2.25</v>
      </c>
      <c r="E11" s="989">
        <f>L11*J11*K11</f>
        <v>5.0506756773232388E-2</v>
      </c>
      <c r="F11" s="988" t="s">
        <v>212</v>
      </c>
      <c r="G11" s="988"/>
      <c r="H11" s="990"/>
      <c r="I11" s="991" t="s">
        <v>491</v>
      </c>
      <c r="J11" s="985">
        <f>PI()*16*16/1000000</f>
        <v>8.0424771931898709E-4</v>
      </c>
      <c r="K11" s="1005">
        <v>8.0000000000000002E-3</v>
      </c>
      <c r="L11" s="1000">
        <v>7850</v>
      </c>
      <c r="M11" s="1001">
        <v>1</v>
      </c>
      <c r="N11" s="32">
        <f>IF(J11="",D11*M11,D11*J11*K11*L11*M11)</f>
        <v>0.11364020273977288</v>
      </c>
      <c r="O11" s="66"/>
    </row>
    <row r="12" spans="1:15" x14ac:dyDescent="0.3">
      <c r="A12" s="992"/>
      <c r="B12" s="993"/>
      <c r="C12" s="993"/>
      <c r="D12" s="993"/>
      <c r="E12" s="993"/>
      <c r="F12" s="993"/>
      <c r="G12" s="993"/>
      <c r="H12" s="993"/>
      <c r="I12" s="993"/>
      <c r="J12" s="993"/>
      <c r="K12" s="993"/>
      <c r="L12" s="993"/>
      <c r="M12" s="1002" t="s">
        <v>18</v>
      </c>
      <c r="N12" s="1003">
        <f>SUM(N11:N11)</f>
        <v>0.11364020273977288</v>
      </c>
      <c r="O12" s="62"/>
    </row>
    <row r="13" spans="1:15" x14ac:dyDescent="0.3">
      <c r="A13" s="994"/>
      <c r="B13" s="58"/>
      <c r="C13" s="58"/>
      <c r="D13" s="58"/>
      <c r="E13" s="58"/>
      <c r="F13" s="58"/>
      <c r="G13" s="58"/>
      <c r="H13" s="58"/>
      <c r="I13" s="58"/>
      <c r="J13" s="58"/>
      <c r="K13" s="58"/>
      <c r="L13" s="58"/>
      <c r="M13" s="58"/>
      <c r="N13" s="58"/>
      <c r="O13" s="62"/>
    </row>
    <row r="14" spans="1:15" x14ac:dyDescent="0.3">
      <c r="A14" s="995" t="s">
        <v>14</v>
      </c>
      <c r="B14" s="996" t="s">
        <v>31</v>
      </c>
      <c r="C14" s="996" t="s">
        <v>20</v>
      </c>
      <c r="D14" s="996" t="s">
        <v>21</v>
      </c>
      <c r="E14" s="996" t="s">
        <v>32</v>
      </c>
      <c r="F14" s="996" t="s">
        <v>17</v>
      </c>
      <c r="G14" s="996" t="s">
        <v>33</v>
      </c>
      <c r="H14" s="996" t="s">
        <v>34</v>
      </c>
      <c r="I14" s="996" t="s">
        <v>18</v>
      </c>
      <c r="J14" s="993"/>
      <c r="K14" s="993"/>
      <c r="L14" s="993"/>
      <c r="M14" s="993"/>
      <c r="N14" s="993"/>
      <c r="O14" s="62"/>
    </row>
    <row r="15" spans="1:15" ht="28.8" x14ac:dyDescent="0.3">
      <c r="A15" s="997">
        <v>10</v>
      </c>
      <c r="B15" s="998" t="s">
        <v>418</v>
      </c>
      <c r="C15" s="998"/>
      <c r="D15" s="999">
        <v>1.3</v>
      </c>
      <c r="E15" s="998" t="s">
        <v>35</v>
      </c>
      <c r="F15" s="998">
        <v>1</v>
      </c>
      <c r="G15" s="998" t="s">
        <v>452</v>
      </c>
      <c r="H15" s="998">
        <f>1/2</f>
        <v>0.5</v>
      </c>
      <c r="I15" s="999">
        <f>D15*F15*H15</f>
        <v>0.65</v>
      </c>
      <c r="J15" s="58"/>
      <c r="K15" s="58"/>
      <c r="L15" s="58"/>
      <c r="M15" s="58"/>
      <c r="N15" s="58"/>
      <c r="O15" s="68"/>
    </row>
    <row r="16" spans="1:15" x14ac:dyDescent="0.3">
      <c r="A16" s="997">
        <v>20</v>
      </c>
      <c r="B16" s="998" t="s">
        <v>159</v>
      </c>
      <c r="C16" s="998"/>
      <c r="D16" s="999">
        <v>0.04</v>
      </c>
      <c r="E16" s="998" t="s">
        <v>161</v>
      </c>
      <c r="F16" s="998">
        <v>0.79</v>
      </c>
      <c r="G16" s="998" t="s">
        <v>413</v>
      </c>
      <c r="H16" s="998">
        <v>3</v>
      </c>
      <c r="I16" s="999">
        <f>D16*F16*H16</f>
        <v>9.4800000000000009E-2</v>
      </c>
      <c r="J16" s="58"/>
      <c r="K16" s="58"/>
      <c r="L16" s="58"/>
      <c r="M16" s="58"/>
      <c r="N16" s="58"/>
      <c r="O16" s="62"/>
    </row>
    <row r="17" spans="1:15" x14ac:dyDescent="0.3">
      <c r="A17" s="992"/>
      <c r="B17" s="993"/>
      <c r="C17" s="993"/>
      <c r="D17" s="993"/>
      <c r="E17" s="993"/>
      <c r="F17" s="993"/>
      <c r="G17" s="993"/>
      <c r="H17" s="1004" t="s">
        <v>18</v>
      </c>
      <c r="I17" s="1003">
        <f>SUM(I15:I16)</f>
        <v>0.74480000000000002</v>
      </c>
      <c r="J17" s="993"/>
      <c r="K17" s="993"/>
      <c r="L17" s="993"/>
      <c r="M17" s="993"/>
      <c r="N17" s="993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9004" display="Drawing"/>
    <hyperlink ref="B4" location="SU_A0900" display="SU_A0900"/>
    <hyperlink ref="G2" location="SU_A0900_BOM" display="Back to BOM"/>
  </hyperlinks>
  <pageMargins left="0.7" right="0.7" top="0.75" bottom="0.75" header="0.3" footer="0.3"/>
  <drawing r:id="rId1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504</v>
      </c>
    </row>
  </sheetData>
  <hyperlinks>
    <hyperlink ref="B1" location="SU_09004" display="SU_09004"/>
  </hyperlinks>
  <pageMargins left="0.7" right="0.7" top="0.75" bottom="0.75" header="0.3" footer="0.3"/>
  <drawing r:id="rId1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S39"/>
  <sheetViews>
    <sheetView zoomScaleNormal="100" zoomScaleSheetLayoutView="80" workbookViewId="0">
      <selection activeCell="E2" sqref="E2"/>
    </sheetView>
  </sheetViews>
  <sheetFormatPr baseColWidth="10" defaultColWidth="9.109375" defaultRowHeight="14.4" x14ac:dyDescent="0.3"/>
  <cols>
    <col min="2" max="2" width="27.5546875" customWidth="1"/>
    <col min="3" max="3" width="43.88671875" customWidth="1"/>
    <col min="15" max="15" width="5.3320312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78"/>
      <c r="N1" s="281"/>
      <c r="O1" s="56"/>
    </row>
    <row r="2" spans="1:15" x14ac:dyDescent="0.3">
      <c r="A2" s="1050" t="s">
        <v>0</v>
      </c>
      <c r="B2" s="16" t="s">
        <v>37</v>
      </c>
      <c r="C2" s="56"/>
      <c r="D2" s="56"/>
      <c r="E2" s="88" t="s">
        <v>126</v>
      </c>
      <c r="F2" s="56"/>
      <c r="G2" s="56"/>
      <c r="H2" s="1006" t="s">
        <v>1</v>
      </c>
      <c r="I2" s="83">
        <v>81</v>
      </c>
      <c r="J2" s="56"/>
      <c r="K2" s="1006" t="s">
        <v>2</v>
      </c>
      <c r="L2" s="95">
        <f>SU_A1000_pa+SU_A1000_p+SU_A1000_f</f>
        <v>147.70868052825119</v>
      </c>
      <c r="M2" s="276"/>
      <c r="O2" s="56"/>
    </row>
    <row r="3" spans="1:15" x14ac:dyDescent="0.3">
      <c r="A3" s="1050" t="s">
        <v>3</v>
      </c>
      <c r="B3" s="16" t="s">
        <v>505</v>
      </c>
      <c r="C3" s="56"/>
      <c r="D3" s="56"/>
      <c r="E3" s="56"/>
      <c r="F3" s="56"/>
      <c r="G3" s="56"/>
      <c r="H3" s="56"/>
      <c r="I3" s="56"/>
      <c r="J3" s="56"/>
      <c r="K3" s="1006" t="s">
        <v>4</v>
      </c>
      <c r="L3" s="82">
        <v>2</v>
      </c>
      <c r="M3" s="276"/>
      <c r="O3" s="56"/>
    </row>
    <row r="4" spans="1:15" x14ac:dyDescent="0.3">
      <c r="A4" s="1050" t="s">
        <v>5</v>
      </c>
      <c r="B4" s="57" t="s">
        <v>506</v>
      </c>
      <c r="C4" s="56"/>
      <c r="D4" s="56"/>
      <c r="E4" s="56"/>
      <c r="F4" s="56"/>
      <c r="G4" s="56"/>
      <c r="H4" s="1007" t="s">
        <v>6</v>
      </c>
      <c r="I4" s="56"/>
      <c r="J4" s="56"/>
      <c r="K4" s="56"/>
      <c r="L4" s="56"/>
      <c r="M4" s="276"/>
      <c r="O4" s="56"/>
    </row>
    <row r="5" spans="1:15" x14ac:dyDescent="0.3">
      <c r="A5" s="1050" t="s">
        <v>7</v>
      </c>
      <c r="B5" s="18" t="s">
        <v>507</v>
      </c>
      <c r="C5" s="56"/>
      <c r="D5" s="56"/>
      <c r="E5" s="56"/>
      <c r="F5" s="56"/>
      <c r="G5" s="56"/>
      <c r="H5" s="1007" t="s">
        <v>8</v>
      </c>
      <c r="I5" s="56"/>
      <c r="J5" s="56"/>
      <c r="K5" s="1006" t="s">
        <v>9</v>
      </c>
      <c r="L5" s="74">
        <f>L2*L3</f>
        <v>295.41736105650239</v>
      </c>
      <c r="M5" s="276"/>
      <c r="O5" s="56"/>
    </row>
    <row r="6" spans="1:15" x14ac:dyDescent="0.3">
      <c r="A6" s="1050" t="s">
        <v>10</v>
      </c>
      <c r="B6" s="16" t="s">
        <v>11</v>
      </c>
      <c r="C6" s="56"/>
      <c r="D6" s="56"/>
      <c r="E6" s="56"/>
      <c r="F6" s="56"/>
      <c r="G6" s="56"/>
      <c r="H6" s="1007" t="s">
        <v>12</v>
      </c>
      <c r="I6" s="56"/>
      <c r="J6" s="56"/>
      <c r="K6" s="56"/>
      <c r="L6" s="56"/>
      <c r="M6" s="276"/>
      <c r="O6" s="56"/>
    </row>
    <row r="7" spans="1:15" x14ac:dyDescent="0.3">
      <c r="A7" s="1050" t="s">
        <v>13</v>
      </c>
      <c r="B7" s="16" t="s">
        <v>508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276"/>
      <c r="N7" s="56"/>
      <c r="O7" s="56"/>
    </row>
    <row r="8" spans="1:15" x14ac:dyDescent="0.3">
      <c r="A8" s="722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276"/>
      <c r="N8" s="56"/>
      <c r="O8" s="56"/>
    </row>
    <row r="9" spans="1:15" x14ac:dyDescent="0.3">
      <c r="A9" s="1050" t="s">
        <v>14</v>
      </c>
      <c r="B9" s="1006" t="s">
        <v>15</v>
      </c>
      <c r="C9" s="1006" t="s">
        <v>16</v>
      </c>
      <c r="D9" s="1006" t="s">
        <v>17</v>
      </c>
      <c r="E9" s="1006" t="s">
        <v>18</v>
      </c>
      <c r="F9" s="56"/>
      <c r="G9" s="56"/>
      <c r="H9" s="56"/>
      <c r="I9" s="56"/>
      <c r="J9" s="56"/>
      <c r="K9" s="56"/>
      <c r="L9" s="56"/>
      <c r="M9" s="276"/>
      <c r="N9" s="56"/>
      <c r="O9" s="56"/>
    </row>
    <row r="10" spans="1:15" x14ac:dyDescent="0.3">
      <c r="A10" s="731">
        <v>10</v>
      </c>
      <c r="B10" s="86" t="str">
        <f>'SU 10001'!B5</f>
        <v>Front Upright</v>
      </c>
      <c r="C10" s="74">
        <f>'SU 10001'!N2</f>
        <v>99.563970000000012</v>
      </c>
      <c r="D10" s="1008">
        <f>'SU 10001'!N3</f>
        <v>1</v>
      </c>
      <c r="E10" s="74">
        <f>C10*D10</f>
        <v>99.563970000000012</v>
      </c>
      <c r="F10" s="56"/>
      <c r="G10" s="56"/>
      <c r="H10" s="56"/>
      <c r="I10" s="56"/>
      <c r="J10" s="56"/>
      <c r="K10" s="56"/>
      <c r="L10" s="56"/>
      <c r="M10" s="276"/>
      <c r="N10" s="56"/>
      <c r="O10" s="56"/>
    </row>
    <row r="11" spans="1:15" x14ac:dyDescent="0.3">
      <c r="A11" s="731">
        <v>20</v>
      </c>
      <c r="B11" s="1009" t="s">
        <v>509</v>
      </c>
      <c r="C11" s="74">
        <f>'SU 10002'!N2</f>
        <v>2.5052785600000003</v>
      </c>
      <c r="D11" s="1008">
        <f>'SU 10002'!N3</f>
        <v>1</v>
      </c>
      <c r="E11" s="74">
        <f>C11*D11</f>
        <v>2.5052785600000003</v>
      </c>
      <c r="F11" s="57"/>
      <c r="G11" s="57"/>
      <c r="H11" s="57"/>
      <c r="I11" s="57"/>
      <c r="J11" s="57"/>
      <c r="K11" s="57"/>
      <c r="L11" s="57"/>
      <c r="M11" s="740"/>
      <c r="N11" s="57"/>
      <c r="O11" s="56"/>
    </row>
    <row r="12" spans="1:15" x14ac:dyDescent="0.3">
      <c r="A12" s="731">
        <v>30</v>
      </c>
      <c r="B12" s="88" t="s">
        <v>510</v>
      </c>
      <c r="C12" s="74">
        <f>'SU 10003'!N2</f>
        <v>18.677843750000001</v>
      </c>
      <c r="D12" s="1008">
        <f>'SU 10003'!N3</f>
        <v>1</v>
      </c>
      <c r="E12" s="74">
        <f>C12*D12</f>
        <v>18.677843750000001</v>
      </c>
      <c r="F12" s="57"/>
      <c r="G12" s="57"/>
      <c r="H12" s="57"/>
      <c r="I12" s="57"/>
      <c r="J12" s="57"/>
      <c r="K12" s="57"/>
      <c r="L12" s="57"/>
      <c r="M12" s="740"/>
      <c r="N12" s="57"/>
      <c r="O12" s="1054"/>
    </row>
    <row r="13" spans="1:15" s="17" customFormat="1" x14ac:dyDescent="0.3">
      <c r="A13" s="731">
        <v>40</v>
      </c>
      <c r="B13" s="86" t="s">
        <v>511</v>
      </c>
      <c r="C13" s="74">
        <f>'SU 10004'!N2</f>
        <v>0.83572750000000007</v>
      </c>
      <c r="D13" s="1008">
        <f>'SU 10004'!N3</f>
        <v>1</v>
      </c>
      <c r="E13" s="74">
        <f>C13*D13</f>
        <v>0.83572750000000007</v>
      </c>
      <c r="F13" s="57"/>
      <c r="G13" s="57"/>
      <c r="H13" s="57"/>
      <c r="I13" s="57"/>
      <c r="J13" s="57"/>
      <c r="K13" s="57"/>
      <c r="L13" s="57"/>
      <c r="M13" s="740"/>
      <c r="N13" s="57"/>
      <c r="O13" s="1054"/>
    </row>
    <row r="14" spans="1:15" s="17" customFormat="1" x14ac:dyDescent="0.3">
      <c r="A14" s="731">
        <v>50</v>
      </c>
      <c r="B14" s="86" t="s">
        <v>512</v>
      </c>
      <c r="C14" s="74">
        <f>'SU 10005'!N2</f>
        <v>0.42691833333333334</v>
      </c>
      <c r="D14" s="1008">
        <f>'SU 10005'!N3</f>
        <v>15</v>
      </c>
      <c r="E14" s="74">
        <f>C14*D14</f>
        <v>6.4037750000000004</v>
      </c>
      <c r="F14" s="57"/>
      <c r="G14" s="57"/>
      <c r="H14" s="57"/>
      <c r="I14" s="57"/>
      <c r="J14" s="57"/>
      <c r="K14" s="57"/>
      <c r="L14" s="57"/>
      <c r="M14" s="740"/>
      <c r="N14" s="57"/>
      <c r="O14" s="57"/>
    </row>
    <row r="15" spans="1:15" x14ac:dyDescent="0.3">
      <c r="A15" s="722"/>
      <c r="B15" s="56"/>
      <c r="C15" s="56"/>
      <c r="D15" s="101" t="s">
        <v>18</v>
      </c>
      <c r="E15" s="1010">
        <f>SUM(E10:E14)</f>
        <v>127.98659481</v>
      </c>
      <c r="F15" s="57"/>
      <c r="G15" s="57"/>
      <c r="H15" s="57"/>
      <c r="I15" s="57"/>
      <c r="J15" s="57"/>
      <c r="K15" s="57"/>
      <c r="L15" s="57"/>
      <c r="M15" s="740"/>
      <c r="N15" s="57"/>
      <c r="O15" s="56"/>
    </row>
    <row r="16" spans="1:15" x14ac:dyDescent="0.3">
      <c r="A16" s="722"/>
      <c r="B16" s="56"/>
      <c r="C16" s="56"/>
      <c r="D16" s="56"/>
      <c r="E16" s="56"/>
      <c r="F16" s="56"/>
      <c r="G16" s="56"/>
      <c r="H16" s="56"/>
      <c r="I16" s="56"/>
      <c r="J16" s="56"/>
      <c r="K16" s="56"/>
      <c r="L16" s="56"/>
      <c r="M16" s="276"/>
      <c r="N16" s="56"/>
      <c r="O16" s="56"/>
    </row>
    <row r="17" spans="1:19" x14ac:dyDescent="0.3">
      <c r="A17" s="722"/>
      <c r="B17" s="56"/>
      <c r="C17" s="56"/>
      <c r="D17" s="56"/>
      <c r="E17" s="56"/>
      <c r="F17" s="56"/>
      <c r="G17" s="56"/>
      <c r="H17" s="56"/>
      <c r="I17" s="56"/>
      <c r="J17" s="56"/>
      <c r="K17" s="56"/>
      <c r="L17" s="56"/>
      <c r="M17" s="276"/>
      <c r="N17" s="56"/>
      <c r="O17" s="56"/>
    </row>
    <row r="18" spans="1:19" x14ac:dyDescent="0.3">
      <c r="A18" s="1050" t="s">
        <v>14</v>
      </c>
      <c r="B18" s="1006" t="s">
        <v>31</v>
      </c>
      <c r="C18" s="1006" t="s">
        <v>20</v>
      </c>
      <c r="D18" s="1006" t="s">
        <v>21</v>
      </c>
      <c r="E18" s="1006" t="s">
        <v>32</v>
      </c>
      <c r="F18" s="1006" t="s">
        <v>17</v>
      </c>
      <c r="G18" s="1006" t="s">
        <v>33</v>
      </c>
      <c r="H18" s="1006" t="s">
        <v>34</v>
      </c>
      <c r="I18" s="1006" t="s">
        <v>18</v>
      </c>
      <c r="J18" s="24"/>
      <c r="K18" s="24"/>
      <c r="L18" s="24"/>
      <c r="M18" s="1055"/>
      <c r="N18" s="24"/>
      <c r="O18" s="58"/>
    </row>
    <row r="19" spans="1:19" s="22" customFormat="1" x14ac:dyDescent="0.3">
      <c r="A19" s="1051">
        <v>10</v>
      </c>
      <c r="B19" s="673" t="s">
        <v>513</v>
      </c>
      <c r="C19" s="673" t="s">
        <v>514</v>
      </c>
      <c r="D19" s="1012">
        <v>0.56000000000000005</v>
      </c>
      <c r="E19" s="1013" t="s">
        <v>35</v>
      </c>
      <c r="F19" s="1013">
        <v>1</v>
      </c>
      <c r="G19" s="1013"/>
      <c r="H19" s="1013">
        <v>1</v>
      </c>
      <c r="I19" s="74">
        <f t="shared" ref="I19:I22" si="0">IF(H19="",D19*F19,D19*F19*H19)</f>
        <v>0.56000000000000005</v>
      </c>
      <c r="J19" s="56"/>
      <c r="K19" s="56"/>
      <c r="L19" s="56"/>
      <c r="M19" s="276"/>
      <c r="N19" s="56"/>
      <c r="O19" s="56"/>
    </row>
    <row r="20" spans="1:19" x14ac:dyDescent="0.3">
      <c r="A20" s="1046">
        <v>20</v>
      </c>
      <c r="B20" s="1025" t="s">
        <v>515</v>
      </c>
      <c r="C20" s="1025" t="s">
        <v>516</v>
      </c>
      <c r="D20" s="1026">
        <v>0.13</v>
      </c>
      <c r="E20" s="1024" t="s">
        <v>35</v>
      </c>
      <c r="F20" s="1024">
        <v>1</v>
      </c>
      <c r="G20" s="1024"/>
      <c r="H20" s="1024">
        <v>1</v>
      </c>
      <c r="I20" s="1027">
        <f t="shared" si="0"/>
        <v>0.13</v>
      </c>
      <c r="J20" s="56"/>
      <c r="K20" s="56"/>
      <c r="L20" s="56"/>
      <c r="M20" s="276"/>
      <c r="N20" s="56"/>
      <c r="O20" s="56"/>
    </row>
    <row r="21" spans="1:19" x14ac:dyDescent="0.3">
      <c r="A21" s="1046">
        <v>30</v>
      </c>
      <c r="B21" s="1025" t="s">
        <v>515</v>
      </c>
      <c r="C21" s="1025" t="s">
        <v>517</v>
      </c>
      <c r="D21" s="1026">
        <v>0.13</v>
      </c>
      <c r="E21" s="1024" t="s">
        <v>35</v>
      </c>
      <c r="F21" s="1024">
        <v>1</v>
      </c>
      <c r="G21" s="1024"/>
      <c r="H21" s="1024">
        <v>1</v>
      </c>
      <c r="I21" s="1027">
        <f t="shared" si="0"/>
        <v>0.13</v>
      </c>
      <c r="J21" s="56"/>
      <c r="K21" s="56"/>
      <c r="L21" s="56"/>
      <c r="M21" s="276"/>
      <c r="N21" s="56"/>
      <c r="O21" s="56"/>
    </row>
    <row r="22" spans="1:19" x14ac:dyDescent="0.3">
      <c r="A22" s="1046">
        <v>40</v>
      </c>
      <c r="B22" s="1025" t="s">
        <v>515</v>
      </c>
      <c r="C22" s="1025" t="s">
        <v>518</v>
      </c>
      <c r="D22" s="1026">
        <v>0.13</v>
      </c>
      <c r="E22" s="1024" t="s">
        <v>35</v>
      </c>
      <c r="F22" s="1024">
        <v>1</v>
      </c>
      <c r="G22" s="1024"/>
      <c r="H22" s="1024">
        <v>1</v>
      </c>
      <c r="I22" s="1027">
        <f t="shared" si="0"/>
        <v>0.13</v>
      </c>
      <c r="J22" s="57"/>
      <c r="K22" s="57"/>
      <c r="L22" s="57"/>
      <c r="M22" s="740"/>
      <c r="N22" s="57"/>
      <c r="O22" s="57"/>
    </row>
    <row r="23" spans="1:19" s="25" customFormat="1" ht="14.4" customHeight="1" x14ac:dyDescent="0.3">
      <c r="A23" s="1052">
        <v>50</v>
      </c>
      <c r="B23" s="1025" t="s">
        <v>366</v>
      </c>
      <c r="C23" s="1025" t="s">
        <v>519</v>
      </c>
      <c r="D23" s="1026">
        <v>0.75</v>
      </c>
      <c r="E23" s="1024" t="s">
        <v>35</v>
      </c>
      <c r="F23" s="1024">
        <v>3</v>
      </c>
      <c r="G23" s="1024"/>
      <c r="H23" s="1024">
        <v>1</v>
      </c>
      <c r="I23" s="1027">
        <f>IF(H23="",D23*F23,D23*F23*H23)</f>
        <v>2.25</v>
      </c>
      <c r="J23" s="57"/>
      <c r="K23" s="57"/>
      <c r="L23" s="57"/>
      <c r="M23" s="740"/>
      <c r="N23" s="57"/>
      <c r="O23" s="58"/>
    </row>
    <row r="24" spans="1:19" ht="16.2" customHeight="1" x14ac:dyDescent="0.3">
      <c r="A24" s="1046">
        <v>60</v>
      </c>
      <c r="B24" s="663" t="s">
        <v>520</v>
      </c>
      <c r="C24" s="1025" t="s">
        <v>519</v>
      </c>
      <c r="D24" s="1031">
        <v>0.25</v>
      </c>
      <c r="E24" s="1028" t="s">
        <v>32</v>
      </c>
      <c r="F24" s="1028">
        <v>3</v>
      </c>
      <c r="G24" s="1024"/>
      <c r="H24" s="1024">
        <v>1</v>
      </c>
      <c r="I24" s="1027">
        <f>IF(H24="",D24*F24,D24*F24*H24)</f>
        <v>0.75</v>
      </c>
      <c r="J24" s="57"/>
      <c r="K24" s="57"/>
      <c r="L24" s="57"/>
      <c r="M24" s="740"/>
      <c r="N24" s="57"/>
      <c r="O24" s="58"/>
    </row>
    <row r="25" spans="1:19" x14ac:dyDescent="0.3">
      <c r="A25" s="1046">
        <v>70</v>
      </c>
      <c r="B25" s="1025" t="s">
        <v>515</v>
      </c>
      <c r="C25" s="1025" t="s">
        <v>521</v>
      </c>
      <c r="D25" s="1026">
        <v>0.13</v>
      </c>
      <c r="E25" s="1024" t="s">
        <v>522</v>
      </c>
      <c r="F25" s="1024">
        <v>1</v>
      </c>
      <c r="G25" s="1024"/>
      <c r="H25" s="1024">
        <v>1</v>
      </c>
      <c r="I25" s="1027">
        <f>IF(H25="",D25*F25,D25*F25*H25)</f>
        <v>0.13</v>
      </c>
      <c r="J25" s="57"/>
      <c r="K25" s="57"/>
      <c r="L25" s="57"/>
      <c r="M25" s="740"/>
      <c r="N25" s="57"/>
      <c r="O25" s="57"/>
    </row>
    <row r="26" spans="1:19" x14ac:dyDescent="0.3">
      <c r="A26" s="1052">
        <v>80</v>
      </c>
      <c r="B26" s="1025" t="s">
        <v>523</v>
      </c>
      <c r="C26" s="1025" t="s">
        <v>524</v>
      </c>
      <c r="D26" s="1029">
        <v>0.63</v>
      </c>
      <c r="E26" s="1024" t="s">
        <v>35</v>
      </c>
      <c r="F26" s="1024">
        <v>1</v>
      </c>
      <c r="G26" s="1024"/>
      <c r="H26" s="1024">
        <v>1</v>
      </c>
      <c r="I26" s="1027">
        <f>IF(H26="",D26*F26,D26*F26*H26)</f>
        <v>0.63</v>
      </c>
      <c r="J26" s="56"/>
      <c r="K26" s="56"/>
      <c r="L26" s="56"/>
      <c r="M26" s="276"/>
      <c r="N26" s="56"/>
      <c r="O26" s="56"/>
    </row>
    <row r="27" spans="1:19" s="17" customFormat="1" x14ac:dyDescent="0.3">
      <c r="A27" s="1046">
        <v>90</v>
      </c>
      <c r="B27" s="1025" t="s">
        <v>366</v>
      </c>
      <c r="C27" s="1025" t="s">
        <v>525</v>
      </c>
      <c r="D27" s="1026">
        <v>0.75</v>
      </c>
      <c r="E27" s="1024" t="s">
        <v>32</v>
      </c>
      <c r="F27" s="1024">
        <v>2</v>
      </c>
      <c r="G27" s="1024"/>
      <c r="H27" s="1024">
        <v>1</v>
      </c>
      <c r="I27" s="1026">
        <f t="shared" ref="I27" si="1">D27*F27*H27</f>
        <v>1.5</v>
      </c>
      <c r="J27" s="649"/>
      <c r="K27" s="649"/>
      <c r="L27" s="649"/>
      <c r="M27" s="1053"/>
      <c r="N27" s="649"/>
      <c r="O27" s="649"/>
      <c r="P27" s="649"/>
      <c r="Q27" s="649"/>
      <c r="R27" s="649"/>
      <c r="S27" s="649"/>
    </row>
    <row r="28" spans="1:19" s="25" customFormat="1" x14ac:dyDescent="0.3">
      <c r="A28" s="1046">
        <v>100</v>
      </c>
      <c r="B28" s="1025" t="s">
        <v>520</v>
      </c>
      <c r="C28" s="1025" t="s">
        <v>525</v>
      </c>
      <c r="D28" s="1026">
        <v>0.25</v>
      </c>
      <c r="E28" s="1024" t="s">
        <v>32</v>
      </c>
      <c r="F28" s="1024">
        <v>2</v>
      </c>
      <c r="G28" s="1024"/>
      <c r="H28" s="1024">
        <v>1</v>
      </c>
      <c r="I28" s="1026">
        <f>D28*F28*H28</f>
        <v>0.5</v>
      </c>
      <c r="J28" s="649"/>
      <c r="K28" s="649"/>
      <c r="L28" s="649"/>
      <c r="M28" s="1053"/>
      <c r="N28" s="649"/>
      <c r="O28" s="649"/>
      <c r="P28" s="649"/>
      <c r="Q28" s="649"/>
      <c r="R28" s="649"/>
      <c r="S28" s="649"/>
    </row>
    <row r="29" spans="1:19" s="17" customFormat="1" ht="28.8" x14ac:dyDescent="0.3">
      <c r="A29" s="1046">
        <v>110</v>
      </c>
      <c r="B29" s="288" t="s">
        <v>526</v>
      </c>
      <c r="C29" s="1024" t="s">
        <v>527</v>
      </c>
      <c r="D29" s="1030">
        <v>8.75</v>
      </c>
      <c r="E29" s="1024" t="s">
        <v>32</v>
      </c>
      <c r="F29" s="1024">
        <v>1</v>
      </c>
      <c r="G29" s="1024"/>
      <c r="H29" s="1024">
        <v>1</v>
      </c>
      <c r="I29" s="1030">
        <f>D29*F29*H29</f>
        <v>8.75</v>
      </c>
      <c r="J29" s="649"/>
      <c r="K29" s="649"/>
      <c r="L29" s="649"/>
      <c r="M29" s="1053"/>
      <c r="N29" s="649"/>
      <c r="O29" s="649"/>
      <c r="P29" s="649"/>
      <c r="Q29" s="649"/>
      <c r="R29" s="649"/>
      <c r="S29" s="649"/>
    </row>
    <row r="30" spans="1:19" x14ac:dyDescent="0.3">
      <c r="A30" s="736"/>
      <c r="B30" s="24"/>
      <c r="C30" s="24"/>
      <c r="D30" s="24"/>
      <c r="E30" s="24"/>
      <c r="F30" s="24"/>
      <c r="G30" s="24"/>
      <c r="H30" s="101" t="s">
        <v>18</v>
      </c>
      <c r="I30" s="1010">
        <f>SUM(I19:I29)</f>
        <v>15.46</v>
      </c>
      <c r="J30" s="56"/>
      <c r="K30" s="56"/>
      <c r="L30" s="56"/>
      <c r="M30" s="276"/>
      <c r="N30" s="56"/>
      <c r="O30" s="56"/>
      <c r="P30" s="17"/>
      <c r="Q30" s="17"/>
      <c r="R30" s="17"/>
      <c r="S30" s="17"/>
    </row>
    <row r="31" spans="1:19" x14ac:dyDescent="0.3">
      <c r="A31" s="722"/>
      <c r="B31" s="56"/>
      <c r="C31" s="56"/>
      <c r="D31" s="56"/>
      <c r="E31" s="56"/>
      <c r="F31" s="56"/>
      <c r="G31" s="56"/>
      <c r="H31" s="56"/>
      <c r="I31" s="56"/>
      <c r="J31" s="56"/>
      <c r="K31" s="56"/>
      <c r="L31" s="56"/>
      <c r="M31" s="276"/>
      <c r="N31" s="56"/>
      <c r="O31" s="56"/>
      <c r="P31" s="25"/>
      <c r="Q31" s="25"/>
      <c r="R31" s="25"/>
      <c r="S31" s="25"/>
    </row>
    <row r="32" spans="1:19" x14ac:dyDescent="0.3">
      <c r="A32" s="1050" t="s">
        <v>14</v>
      </c>
      <c r="B32" s="1006" t="s">
        <v>36</v>
      </c>
      <c r="C32" s="1006" t="s">
        <v>20</v>
      </c>
      <c r="D32" s="1006" t="s">
        <v>21</v>
      </c>
      <c r="E32" s="1006" t="s">
        <v>22</v>
      </c>
      <c r="F32" s="1006" t="s">
        <v>23</v>
      </c>
      <c r="G32" s="1006" t="s">
        <v>24</v>
      </c>
      <c r="H32" s="1006" t="s">
        <v>25</v>
      </c>
      <c r="I32" s="1006" t="s">
        <v>17</v>
      </c>
      <c r="J32" s="1006" t="s">
        <v>18</v>
      </c>
      <c r="K32" s="56"/>
      <c r="L32" s="56"/>
      <c r="M32" s="276"/>
      <c r="N32" s="56"/>
      <c r="O32" s="56"/>
      <c r="P32" s="17"/>
      <c r="Q32" s="17"/>
      <c r="R32" s="17"/>
      <c r="S32" s="17"/>
    </row>
    <row r="33" spans="1:16" x14ac:dyDescent="0.3">
      <c r="A33" s="1046">
        <v>10</v>
      </c>
      <c r="B33" s="783" t="s">
        <v>528</v>
      </c>
      <c r="C33" s="1024" t="s">
        <v>529</v>
      </c>
      <c r="D33" s="1026">
        <f>1.25/105154*E33^2*G33*SQRT(G33)+(0.005*EXP(0.319*E33))</f>
        <v>1.0655214295627982</v>
      </c>
      <c r="E33" s="1024">
        <v>12</v>
      </c>
      <c r="F33" s="1032" t="s">
        <v>30</v>
      </c>
      <c r="G33" s="1024">
        <v>62</v>
      </c>
      <c r="H33" s="1025" t="s">
        <v>30</v>
      </c>
      <c r="I33" s="1033">
        <v>4</v>
      </c>
      <c r="J33" s="1026">
        <f>D33*I33</f>
        <v>4.2620857182511926</v>
      </c>
      <c r="K33" s="56"/>
      <c r="L33" s="56"/>
      <c r="M33" s="276"/>
      <c r="N33" s="56"/>
      <c r="O33" s="56"/>
    </row>
    <row r="34" spans="1:16" x14ac:dyDescent="0.3">
      <c r="A34" s="736"/>
      <c r="B34" s="24"/>
      <c r="C34" s="24"/>
      <c r="D34" s="24"/>
      <c r="E34" s="24"/>
      <c r="F34" s="24"/>
      <c r="G34" s="24"/>
      <c r="H34" s="24"/>
      <c r="I34" s="101" t="s">
        <v>18</v>
      </c>
      <c r="J34" s="1010">
        <f>SUM(J33:J33)</f>
        <v>4.2620857182511926</v>
      </c>
      <c r="K34" s="56"/>
      <c r="L34" s="56"/>
      <c r="M34" s="276"/>
      <c r="N34" s="56"/>
      <c r="O34" s="56"/>
    </row>
    <row r="35" spans="1:16" x14ac:dyDescent="0.3">
      <c r="A35" s="722"/>
      <c r="B35" s="56"/>
      <c r="C35" s="56"/>
      <c r="D35" s="56"/>
      <c r="E35" s="56"/>
      <c r="F35" s="56"/>
      <c r="G35" s="56"/>
      <c r="H35" s="56"/>
      <c r="I35" s="56"/>
      <c r="J35" s="24"/>
      <c r="K35" s="56"/>
      <c r="L35" s="56"/>
      <c r="M35" s="276"/>
      <c r="N35" s="56"/>
      <c r="O35" s="56"/>
    </row>
    <row r="36" spans="1:16" ht="15" thickBot="1" x14ac:dyDescent="0.35">
      <c r="A36" s="296"/>
      <c r="B36" s="297"/>
      <c r="C36" s="297"/>
      <c r="D36" s="297"/>
      <c r="E36" s="297"/>
      <c r="F36" s="297"/>
      <c r="G36" s="297"/>
      <c r="H36" s="297"/>
      <c r="I36" s="297"/>
      <c r="J36" s="297"/>
      <c r="K36" s="297"/>
      <c r="L36" s="297"/>
      <c r="M36" s="298"/>
      <c r="N36" s="56"/>
      <c r="O36" s="56"/>
    </row>
    <row r="37" spans="1:16" x14ac:dyDescent="0.3">
      <c r="A37" s="56"/>
      <c r="B37" s="56"/>
      <c r="C37" s="56"/>
      <c r="D37" s="56"/>
      <c r="E37" s="56"/>
      <c r="F37" s="56"/>
      <c r="G37" s="56"/>
      <c r="H37" s="56"/>
      <c r="I37" s="56"/>
      <c r="J37" s="56"/>
      <c r="K37" s="56"/>
      <c r="L37" s="56"/>
      <c r="M37" s="56"/>
      <c r="N37" s="56"/>
      <c r="O37" s="56"/>
      <c r="P37" s="56"/>
    </row>
    <row r="38" spans="1:16" x14ac:dyDescent="0.3">
      <c r="L38" s="56"/>
      <c r="M38" s="56"/>
      <c r="N38" s="56"/>
      <c r="O38" s="56"/>
      <c r="P38" s="56"/>
    </row>
    <row r="39" spans="1:16" x14ac:dyDescent="0.3">
      <c r="L39" s="56"/>
      <c r="M39" s="56"/>
      <c r="N39" s="56"/>
      <c r="O39" s="56"/>
      <c r="P39" s="56"/>
    </row>
  </sheetData>
  <hyperlinks>
    <hyperlink ref="B10" location="'SU 10001'!A1" display="'SU 10001'!A1"/>
    <hyperlink ref="B11" location="'SU 10002'!A1" display="Front Bearing Spacer"/>
    <hyperlink ref="B13" location="'SU 10004'!A1" display="Speed Sensor Spacer"/>
    <hyperlink ref="B14" location="'SU 10005'!A1" display="Camber adjustment shim"/>
    <hyperlink ref="B12" location="'SU 10003'!A1" display="Front Wheel Spacer"/>
    <hyperlink ref="E2" location="SU_A10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31"/>
  <sheetViews>
    <sheetView zoomScaleNormal="100" workbookViewId="0">
      <selection activeCell="B4" sqref="B4"/>
    </sheetView>
  </sheetViews>
  <sheetFormatPr baseColWidth="10" defaultColWidth="9.109375" defaultRowHeight="14.4" x14ac:dyDescent="0.3"/>
  <cols>
    <col min="2" max="2" width="24" customWidth="1"/>
    <col min="3" max="3" width="21.6640625" customWidth="1"/>
    <col min="7" max="7" width="18.77734375" customWidth="1"/>
    <col min="9" max="9" width="15.44140625" customWidth="1"/>
    <col min="14" max="14" width="12.5546875" bestFit="1" customWidth="1"/>
    <col min="15" max="15" width="3.1093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1036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>
        <f>N12+I29</f>
        <v>99.563970000000012</v>
      </c>
      <c r="O2" s="276"/>
    </row>
    <row r="3" spans="1:15" x14ac:dyDescent="0.3">
      <c r="A3" s="1036" t="s">
        <v>3</v>
      </c>
      <c r="B3" s="16" t="str">
        <f>'SU A1000'!B3</f>
        <v>Wheels &amp; Tires</v>
      </c>
      <c r="C3" s="56"/>
      <c r="D3" s="1014" t="s">
        <v>6</v>
      </c>
      <c r="E3" s="88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</v>
      </c>
      <c r="O3" s="276"/>
    </row>
    <row r="4" spans="1:15" x14ac:dyDescent="0.3">
      <c r="A4" s="1036" t="s">
        <v>5</v>
      </c>
      <c r="B4" s="283" t="str">
        <f>'SU A1000'!B4</f>
        <v>Front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276"/>
    </row>
    <row r="5" spans="1:15" x14ac:dyDescent="0.3">
      <c r="A5" s="1036" t="s">
        <v>15</v>
      </c>
      <c r="B5" s="18" t="s">
        <v>530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>
        <f>N3*N2</f>
        <v>99.563970000000012</v>
      </c>
      <c r="O5" s="276"/>
    </row>
    <row r="6" spans="1:15" x14ac:dyDescent="0.3">
      <c r="A6" s="1036" t="s">
        <v>7</v>
      </c>
      <c r="B6" s="28" t="s">
        <v>531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276"/>
    </row>
    <row r="7" spans="1:15" x14ac:dyDescent="0.3">
      <c r="A7" s="1036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76"/>
    </row>
    <row r="8" spans="1:15" x14ac:dyDescent="0.3">
      <c r="A8" s="1036" t="s">
        <v>13</v>
      </c>
      <c r="B8" s="16" t="s">
        <v>532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76"/>
    </row>
    <row r="9" spans="1:15" x14ac:dyDescent="0.3">
      <c r="A9" s="1037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76"/>
    </row>
    <row r="10" spans="1:15" x14ac:dyDescent="0.3">
      <c r="A10" s="1038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276"/>
    </row>
    <row r="11" spans="1:15" s="22" customFormat="1" ht="28.8" x14ac:dyDescent="0.3">
      <c r="A11" s="1042">
        <v>10</v>
      </c>
      <c r="B11" s="987" t="s">
        <v>533</v>
      </c>
      <c r="C11" s="988"/>
      <c r="D11" s="32">
        <v>4.2</v>
      </c>
      <c r="E11" s="1043">
        <f>J11*K11*L11</f>
        <v>6.1528499999999999</v>
      </c>
      <c r="F11" s="988" t="s">
        <v>212</v>
      </c>
      <c r="G11" s="988"/>
      <c r="H11" s="990"/>
      <c r="I11" s="847" t="s">
        <v>534</v>
      </c>
      <c r="J11" s="1005">
        <f>(165*275*10^-6)</f>
        <v>4.5374999999999999E-2</v>
      </c>
      <c r="K11" s="1005">
        <v>0.05</v>
      </c>
      <c r="L11" s="1000">
        <v>2712</v>
      </c>
      <c r="M11" s="1001">
        <v>1</v>
      </c>
      <c r="N11" s="32">
        <f>D11*E11</f>
        <v>25.84197</v>
      </c>
      <c r="O11" s="735"/>
    </row>
    <row r="12" spans="1:15" x14ac:dyDescent="0.3">
      <c r="A12" s="736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25.84197</v>
      </c>
      <c r="O12" s="276"/>
    </row>
    <row r="13" spans="1:15" x14ac:dyDescent="0.3">
      <c r="A13" s="722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76"/>
    </row>
    <row r="14" spans="1:15" x14ac:dyDescent="0.3">
      <c r="A14" s="1040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276"/>
    </row>
    <row r="15" spans="1:15" s="25" customFormat="1" ht="28.8" x14ac:dyDescent="0.3">
      <c r="A15" s="1046">
        <v>10</v>
      </c>
      <c r="B15" s="1025" t="s">
        <v>535</v>
      </c>
      <c r="C15" s="1025" t="s">
        <v>536</v>
      </c>
      <c r="D15" s="1047">
        <v>1.3</v>
      </c>
      <c r="E15" s="1024" t="s">
        <v>32</v>
      </c>
      <c r="F15" s="1024">
        <v>1</v>
      </c>
      <c r="G15" s="1024"/>
      <c r="H15" s="1024">
        <v>1</v>
      </c>
      <c r="I15" s="32">
        <f t="shared" ref="I15:I28" si="0">IF(H15="",D15*F15,D15*F15*H15)</f>
        <v>1.3</v>
      </c>
      <c r="J15" s="58"/>
      <c r="K15" s="58"/>
      <c r="L15" s="58"/>
      <c r="M15" s="58"/>
      <c r="N15" s="58"/>
      <c r="O15" s="737"/>
    </row>
    <row r="16" spans="1:15" x14ac:dyDescent="0.3">
      <c r="A16" s="1046">
        <v>20</v>
      </c>
      <c r="B16" s="1025" t="s">
        <v>159</v>
      </c>
      <c r="C16" s="1025" t="s">
        <v>537</v>
      </c>
      <c r="D16" s="1047">
        <v>0.04</v>
      </c>
      <c r="E16" s="1024" t="s">
        <v>161</v>
      </c>
      <c r="F16" s="1024">
        <v>1268</v>
      </c>
      <c r="G16" s="1024" t="s">
        <v>264</v>
      </c>
      <c r="H16" s="1024">
        <v>1</v>
      </c>
      <c r="I16" s="32">
        <f t="shared" si="0"/>
        <v>50.72</v>
      </c>
      <c r="J16" s="56"/>
      <c r="K16" s="56"/>
      <c r="L16" s="56"/>
      <c r="M16" s="56"/>
      <c r="N16" s="56"/>
      <c r="O16" s="276"/>
    </row>
    <row r="17" spans="1:15" s="17" customFormat="1" x14ac:dyDescent="0.3">
      <c r="A17" s="1046">
        <v>30</v>
      </c>
      <c r="B17" s="1025" t="s">
        <v>158</v>
      </c>
      <c r="C17" s="1025" t="s">
        <v>538</v>
      </c>
      <c r="D17" s="1047">
        <v>0.65</v>
      </c>
      <c r="E17" s="1024" t="s">
        <v>32</v>
      </c>
      <c r="F17" s="1024">
        <v>1</v>
      </c>
      <c r="G17" s="1024"/>
      <c r="H17" s="1024">
        <v>1</v>
      </c>
      <c r="I17" s="32">
        <f t="shared" si="0"/>
        <v>0.65</v>
      </c>
      <c r="J17" s="57"/>
      <c r="K17" s="57"/>
      <c r="L17" s="57"/>
      <c r="M17" s="57"/>
      <c r="N17" s="57"/>
      <c r="O17" s="740"/>
    </row>
    <row r="18" spans="1:15" s="17" customFormat="1" ht="28.8" x14ac:dyDescent="0.3">
      <c r="A18" s="1046">
        <v>40</v>
      </c>
      <c r="B18" s="1025" t="s">
        <v>159</v>
      </c>
      <c r="C18" s="1025" t="s">
        <v>539</v>
      </c>
      <c r="D18" s="1047">
        <v>0.04</v>
      </c>
      <c r="E18" s="1024" t="s">
        <v>161</v>
      </c>
      <c r="F18" s="1024">
        <v>352.2</v>
      </c>
      <c r="G18" s="1024" t="s">
        <v>264</v>
      </c>
      <c r="H18" s="1024">
        <v>1</v>
      </c>
      <c r="I18" s="32">
        <f t="shared" si="0"/>
        <v>14.087999999999999</v>
      </c>
      <c r="J18" s="57"/>
      <c r="K18" s="57"/>
      <c r="L18" s="57"/>
      <c r="M18" s="57"/>
      <c r="N18" s="57"/>
      <c r="O18" s="740"/>
    </row>
    <row r="19" spans="1:15" s="17" customFormat="1" x14ac:dyDescent="0.3">
      <c r="A19" s="1046">
        <v>50</v>
      </c>
      <c r="B19" s="1025" t="s">
        <v>158</v>
      </c>
      <c r="C19" s="1025"/>
      <c r="D19" s="1047">
        <v>0.65</v>
      </c>
      <c r="E19" s="1024" t="s">
        <v>32</v>
      </c>
      <c r="F19" s="1024">
        <v>1</v>
      </c>
      <c r="G19" s="1024"/>
      <c r="H19" s="1024">
        <v>1</v>
      </c>
      <c r="I19" s="32">
        <f t="shared" si="0"/>
        <v>0.65</v>
      </c>
      <c r="J19" s="57"/>
      <c r="K19" s="57"/>
      <c r="L19" s="57"/>
      <c r="M19" s="57"/>
      <c r="N19" s="57"/>
      <c r="O19" s="740"/>
    </row>
    <row r="20" spans="1:15" s="17" customFormat="1" ht="43.2" x14ac:dyDescent="0.3">
      <c r="A20" s="1046">
        <v>60</v>
      </c>
      <c r="B20" s="1025" t="s">
        <v>159</v>
      </c>
      <c r="C20" s="1025" t="s">
        <v>540</v>
      </c>
      <c r="D20" s="1047">
        <v>0.04</v>
      </c>
      <c r="E20" s="1024" t="s">
        <v>161</v>
      </c>
      <c r="F20" s="1024">
        <v>72.2</v>
      </c>
      <c r="G20" s="1024" t="s">
        <v>264</v>
      </c>
      <c r="H20" s="1024">
        <v>1</v>
      </c>
      <c r="I20" s="32">
        <f t="shared" si="0"/>
        <v>2.8880000000000003</v>
      </c>
      <c r="J20" s="57"/>
      <c r="K20" s="57"/>
      <c r="L20" s="57"/>
      <c r="M20" s="57"/>
      <c r="N20" s="57"/>
      <c r="O20" s="740"/>
    </row>
    <row r="21" spans="1:15" s="17" customFormat="1" x14ac:dyDescent="0.3">
      <c r="A21" s="1046">
        <v>70</v>
      </c>
      <c r="B21" s="1025" t="s">
        <v>158</v>
      </c>
      <c r="C21" s="1025"/>
      <c r="D21" s="1047">
        <v>0.65</v>
      </c>
      <c r="E21" s="1024" t="s">
        <v>32</v>
      </c>
      <c r="F21" s="1024">
        <v>1</v>
      </c>
      <c r="G21" s="1024"/>
      <c r="H21" s="1024">
        <v>1</v>
      </c>
      <c r="I21" s="32">
        <f t="shared" si="0"/>
        <v>0.65</v>
      </c>
      <c r="J21" s="57"/>
      <c r="K21" s="57"/>
      <c r="L21" s="57"/>
      <c r="M21" s="57"/>
      <c r="N21" s="57"/>
      <c r="O21" s="740"/>
    </row>
    <row r="22" spans="1:15" x14ac:dyDescent="0.3">
      <c r="A22" s="1046">
        <v>80</v>
      </c>
      <c r="B22" s="1025" t="s">
        <v>159</v>
      </c>
      <c r="C22" s="1025" t="s">
        <v>541</v>
      </c>
      <c r="D22" s="1047">
        <v>0.04</v>
      </c>
      <c r="E22" s="1024" t="s">
        <v>161</v>
      </c>
      <c r="F22" s="1024">
        <v>1.1000000000000001</v>
      </c>
      <c r="G22" s="1024" t="s">
        <v>264</v>
      </c>
      <c r="H22" s="1024">
        <v>1</v>
      </c>
      <c r="I22" s="32">
        <f t="shared" si="0"/>
        <v>4.4000000000000004E-2</v>
      </c>
      <c r="J22" s="56"/>
      <c r="K22" s="56"/>
      <c r="L22" s="56"/>
      <c r="M22" s="56"/>
      <c r="N22" s="56"/>
      <c r="O22" s="276"/>
    </row>
    <row r="23" spans="1:15" x14ac:dyDescent="0.3">
      <c r="A23" s="1046">
        <v>90</v>
      </c>
      <c r="B23" s="1025" t="s">
        <v>158</v>
      </c>
      <c r="C23" s="1025"/>
      <c r="D23" s="1047">
        <v>0.65</v>
      </c>
      <c r="E23" s="1024" t="s">
        <v>32</v>
      </c>
      <c r="F23" s="1024">
        <v>1</v>
      </c>
      <c r="G23" s="1024"/>
      <c r="H23" s="1024">
        <v>1</v>
      </c>
      <c r="I23" s="32">
        <f t="shared" si="0"/>
        <v>0.65</v>
      </c>
      <c r="J23" s="56"/>
      <c r="K23" s="56"/>
      <c r="L23" s="56"/>
      <c r="M23" s="56"/>
      <c r="N23" s="56"/>
      <c r="O23" s="276"/>
    </row>
    <row r="24" spans="1:15" x14ac:dyDescent="0.3">
      <c r="A24" s="1046">
        <v>100</v>
      </c>
      <c r="B24" s="1025" t="s">
        <v>159</v>
      </c>
      <c r="C24" s="1025" t="s">
        <v>542</v>
      </c>
      <c r="D24" s="1047">
        <v>0.04</v>
      </c>
      <c r="E24" s="1024" t="s">
        <v>161</v>
      </c>
      <c r="F24" s="1024">
        <v>18.2</v>
      </c>
      <c r="G24" s="1024" t="s">
        <v>264</v>
      </c>
      <c r="H24" s="1024">
        <v>1</v>
      </c>
      <c r="I24" s="32">
        <f t="shared" si="0"/>
        <v>0.72799999999999998</v>
      </c>
      <c r="J24" s="56"/>
      <c r="K24" s="56"/>
      <c r="L24" s="56"/>
      <c r="M24" s="56"/>
      <c r="N24" s="56"/>
      <c r="O24" s="276"/>
    </row>
    <row r="25" spans="1:15" x14ac:dyDescent="0.3">
      <c r="A25" s="1046">
        <v>110</v>
      </c>
      <c r="B25" s="1025" t="s">
        <v>158</v>
      </c>
      <c r="C25" s="1025"/>
      <c r="D25" s="1047">
        <v>0.65</v>
      </c>
      <c r="E25" s="1024" t="s">
        <v>32</v>
      </c>
      <c r="F25" s="1024">
        <v>1</v>
      </c>
      <c r="G25" s="1024"/>
      <c r="H25" s="1024">
        <v>1</v>
      </c>
      <c r="I25" s="32">
        <f t="shared" si="0"/>
        <v>0.65</v>
      </c>
      <c r="J25" s="56"/>
      <c r="K25" s="56"/>
      <c r="L25" s="56"/>
      <c r="M25" s="56"/>
      <c r="N25" s="56"/>
      <c r="O25" s="276"/>
    </row>
    <row r="26" spans="1:15" x14ac:dyDescent="0.3">
      <c r="A26" s="1046">
        <v>120</v>
      </c>
      <c r="B26" s="1025" t="s">
        <v>159</v>
      </c>
      <c r="C26" s="1025" t="s">
        <v>543</v>
      </c>
      <c r="D26" s="1047">
        <v>0.04</v>
      </c>
      <c r="E26" s="1024" t="s">
        <v>161</v>
      </c>
      <c r="F26" s="1024">
        <v>17.600000000000001</v>
      </c>
      <c r="G26" s="1024" t="s">
        <v>264</v>
      </c>
      <c r="H26" s="1024">
        <v>1</v>
      </c>
      <c r="I26" s="32">
        <f t="shared" si="0"/>
        <v>0.70400000000000007</v>
      </c>
      <c r="J26" s="56"/>
      <c r="K26" s="56"/>
      <c r="L26" s="56"/>
      <c r="M26" s="56"/>
      <c r="N26" s="56"/>
      <c r="O26" s="276"/>
    </row>
    <row r="27" spans="1:15" x14ac:dyDescent="0.3">
      <c r="A27" s="1046">
        <v>130</v>
      </c>
      <c r="B27" s="1025" t="s">
        <v>158</v>
      </c>
      <c r="C27" s="1025"/>
      <c r="D27" s="1047">
        <v>0.65</v>
      </c>
      <c r="E27" s="1024" t="s">
        <v>32</v>
      </c>
      <c r="F27" s="1024">
        <v>1</v>
      </c>
      <c r="G27" s="1024"/>
      <c r="H27" s="1024">
        <v>1</v>
      </c>
      <c r="I27" s="32">
        <f t="shared" si="0"/>
        <v>0.65</v>
      </c>
      <c r="J27" s="24"/>
      <c r="K27" s="24"/>
      <c r="L27" s="24"/>
      <c r="M27" s="24"/>
      <c r="N27" s="24"/>
      <c r="O27" s="276"/>
    </row>
    <row r="28" spans="1:15" x14ac:dyDescent="0.3">
      <c r="A28" s="1046">
        <v>140</v>
      </c>
      <c r="B28" s="1025" t="s">
        <v>159</v>
      </c>
      <c r="C28" s="1025" t="s">
        <v>544</v>
      </c>
      <c r="D28" s="1047">
        <v>0.04</v>
      </c>
      <c r="E28" s="1024" t="s">
        <v>161</v>
      </c>
      <c r="F28" s="1024">
        <v>5.8</v>
      </c>
      <c r="G28" s="1024" t="s">
        <v>264</v>
      </c>
      <c r="H28" s="1024">
        <v>1</v>
      </c>
      <c r="I28" s="32">
        <f t="shared" si="0"/>
        <v>0.23199999999999998</v>
      </c>
      <c r="J28" s="56"/>
      <c r="K28" s="56"/>
      <c r="L28" s="56"/>
      <c r="M28" s="56"/>
      <c r="N28" s="56"/>
      <c r="O28" s="276"/>
    </row>
    <row r="29" spans="1:15" x14ac:dyDescent="0.3">
      <c r="A29" s="736"/>
      <c r="B29" s="24"/>
      <c r="C29" s="24"/>
      <c r="D29" s="24"/>
      <c r="E29" s="24"/>
      <c r="F29" s="24"/>
      <c r="G29" s="24"/>
      <c r="H29" s="111" t="s">
        <v>18</v>
      </c>
      <c r="I29" s="1034">
        <f>SUM(I15:I26)</f>
        <v>73.722000000000008</v>
      </c>
      <c r="J29" s="1035"/>
      <c r="K29" s="56"/>
      <c r="L29" s="56"/>
      <c r="M29" s="56"/>
      <c r="N29" s="56"/>
      <c r="O29" s="276"/>
    </row>
    <row r="30" spans="1:15" x14ac:dyDescent="0.3">
      <c r="A30" s="722"/>
      <c r="B30" s="56"/>
      <c r="C30" s="56"/>
      <c r="D30" s="56"/>
      <c r="E30" s="56"/>
      <c r="F30" s="56"/>
      <c r="G30" s="56"/>
      <c r="H30" s="56"/>
      <c r="I30" s="57"/>
      <c r="J30" s="56"/>
      <c r="K30" s="56"/>
      <c r="L30" s="56"/>
      <c r="M30" s="56"/>
      <c r="N30" s="56"/>
      <c r="O30" s="276"/>
    </row>
    <row r="31" spans="1:15" ht="15" thickBot="1" x14ac:dyDescent="0.35">
      <c r="A31" s="296"/>
      <c r="B31" s="297"/>
      <c r="C31" s="297"/>
      <c r="D31" s="297"/>
      <c r="E31" s="297"/>
      <c r="F31" s="297"/>
      <c r="G31" s="297"/>
      <c r="H31" s="297"/>
      <c r="I31" s="297"/>
      <c r="J31" s="297"/>
      <c r="K31" s="297"/>
      <c r="L31" s="297"/>
      <c r="M31" s="297"/>
      <c r="N31" s="297"/>
      <c r="O31" s="298"/>
    </row>
  </sheetData>
  <hyperlinks>
    <hyperlink ref="E3" location="dSU_10001" display="Drawing"/>
    <hyperlink ref="B4" location="SU_A1000" display="SU_A1000"/>
    <hyperlink ref="G2" location="SU_A10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7" max="16383" man="1"/>
    <brk id="61" max="16383" man="1"/>
  </rowBreaks>
  <drawing r:id="rId2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1015" t="s">
        <v>570</v>
      </c>
    </row>
  </sheetData>
  <hyperlinks>
    <hyperlink ref="B1" location="SU_10001" display="SU_10001"/>
  </hyperlinks>
  <pageMargins left="0.7" right="0.7" top="0.75" bottom="0.75" header="0.3" footer="0.3"/>
  <pageSetup paperSize="9" fitToHeight="0" orientation="portrait" r:id="rId1"/>
  <drawing r:id="rId2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1"/>
  <sheetViews>
    <sheetView zoomScale="90" zoomScaleNormal="90" workbookViewId="0">
      <selection activeCell="B4" sqref="B4"/>
    </sheetView>
  </sheetViews>
  <sheetFormatPr baseColWidth="10" defaultColWidth="9.109375" defaultRowHeight="14.4" x14ac:dyDescent="0.3"/>
  <cols>
    <col min="2" max="2" width="23" customWidth="1"/>
    <col min="3" max="3" width="22.33203125" customWidth="1"/>
    <col min="7" max="7" width="11.6640625" customWidth="1"/>
    <col min="9" max="9" width="17.5546875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14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>
        <f>SU_10002_m+SU_10002_p</f>
        <v>2.5052785600000003</v>
      </c>
      <c r="O2" s="62"/>
    </row>
    <row r="3" spans="1:15" x14ac:dyDescent="0.3">
      <c r="A3" s="1014" t="s">
        <v>3</v>
      </c>
      <c r="B3" s="16" t="str">
        <f>'SU A1000'!B3</f>
        <v>Wheels &amp; Tires</v>
      </c>
      <c r="C3" s="56"/>
      <c r="D3" s="1014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</v>
      </c>
      <c r="O3" s="62"/>
    </row>
    <row r="4" spans="1:15" x14ac:dyDescent="0.3">
      <c r="A4" s="1014" t="s">
        <v>5</v>
      </c>
      <c r="B4" s="283" t="str">
        <f>'SU A1000'!B4</f>
        <v>Front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62"/>
    </row>
    <row r="5" spans="1:15" x14ac:dyDescent="0.3">
      <c r="A5" s="1014" t="s">
        <v>15</v>
      </c>
      <c r="B5" s="18" t="s">
        <v>509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>
        <f>N3*N2</f>
        <v>2.5052785600000003</v>
      </c>
      <c r="O5" s="62"/>
    </row>
    <row r="6" spans="1:15" x14ac:dyDescent="0.3">
      <c r="A6" s="1014" t="s">
        <v>7</v>
      </c>
      <c r="B6" s="28" t="s">
        <v>545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62"/>
    </row>
    <row r="7" spans="1:15" x14ac:dyDescent="0.3">
      <c r="A7" s="1014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14" t="s">
        <v>13</v>
      </c>
      <c r="B8" s="16" t="s">
        <v>546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17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62"/>
    </row>
    <row r="11" spans="1:15" s="22" customFormat="1" ht="28.8" x14ac:dyDescent="0.3">
      <c r="A11" s="1048">
        <v>10</v>
      </c>
      <c r="B11" s="987" t="s">
        <v>547</v>
      </c>
      <c r="C11" s="988"/>
      <c r="D11" s="32">
        <v>4.2</v>
      </c>
      <c r="E11" s="1043">
        <f>J11*K11*L11</f>
        <v>5.1256800000000005E-2</v>
      </c>
      <c r="F11" s="988" t="s">
        <v>212</v>
      </c>
      <c r="G11" s="988"/>
      <c r="H11" s="990"/>
      <c r="I11" s="847" t="s">
        <v>548</v>
      </c>
      <c r="J11" s="1044">
        <f>0.07*0.045</f>
        <v>3.15E-3</v>
      </c>
      <c r="K11" s="1045">
        <v>6.0000000000000001E-3</v>
      </c>
      <c r="L11" s="1000">
        <v>2712</v>
      </c>
      <c r="M11" s="1001">
        <v>1</v>
      </c>
      <c r="N11" s="32">
        <f>D11*E11</f>
        <v>0.21527856000000004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0.21527856000000004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23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24">
        <v>10</v>
      </c>
      <c r="B15" s="1025" t="s">
        <v>535</v>
      </c>
      <c r="C15" s="1025" t="s">
        <v>549</v>
      </c>
      <c r="D15" s="1047">
        <v>1.3</v>
      </c>
      <c r="E15" s="1024" t="s">
        <v>32</v>
      </c>
      <c r="F15" s="1024">
        <v>1</v>
      </c>
      <c r="G15" s="1024"/>
      <c r="H15" s="1024">
        <v>1</v>
      </c>
      <c r="I15" s="32">
        <f>IF(H15="",D15*F15,D15*F15*H15)</f>
        <v>1.3</v>
      </c>
      <c r="J15" s="58"/>
      <c r="K15" s="58"/>
      <c r="L15" s="58"/>
      <c r="M15" s="58"/>
      <c r="N15" s="58"/>
      <c r="O15" s="68"/>
    </row>
    <row r="16" spans="1:15" ht="28.8" x14ac:dyDescent="0.3">
      <c r="A16" s="1024">
        <v>20</v>
      </c>
      <c r="B16" s="1025" t="s">
        <v>159</v>
      </c>
      <c r="C16" s="1025" t="s">
        <v>550</v>
      </c>
      <c r="D16" s="1047">
        <v>0.04</v>
      </c>
      <c r="E16" s="1024" t="s">
        <v>161</v>
      </c>
      <c r="F16" s="1024">
        <v>5.3</v>
      </c>
      <c r="G16" s="1024" t="s">
        <v>264</v>
      </c>
      <c r="H16" s="1024">
        <v>1</v>
      </c>
      <c r="I16" s="32">
        <f>IF(H16="",D16*F16,D16*F16*H16)</f>
        <v>0.21199999999999999</v>
      </c>
      <c r="J16" s="56"/>
      <c r="K16" s="56"/>
      <c r="L16" s="56"/>
      <c r="M16" s="56"/>
      <c r="N16" s="56"/>
      <c r="O16" s="62"/>
    </row>
    <row r="17" spans="1:15" s="17" customFormat="1" x14ac:dyDescent="0.3">
      <c r="A17" s="1024">
        <v>30</v>
      </c>
      <c r="B17" s="1025" t="s">
        <v>158</v>
      </c>
      <c r="C17" s="1025" t="s">
        <v>551</v>
      </c>
      <c r="D17" s="1047">
        <v>0.65</v>
      </c>
      <c r="E17" s="1024" t="s">
        <v>32</v>
      </c>
      <c r="F17" s="1024">
        <v>1</v>
      </c>
      <c r="G17" s="1024"/>
      <c r="H17" s="1024">
        <v>1</v>
      </c>
      <c r="I17" s="32">
        <f>IF(H17="",D17*F17,D17*F17*H17)</f>
        <v>0.65</v>
      </c>
      <c r="J17" s="57"/>
      <c r="K17" s="57"/>
      <c r="L17" s="57"/>
      <c r="M17" s="57"/>
      <c r="N17" s="57"/>
      <c r="O17" s="65"/>
    </row>
    <row r="18" spans="1:15" s="17" customFormat="1" ht="28.8" x14ac:dyDescent="0.3">
      <c r="A18" s="1024">
        <v>40</v>
      </c>
      <c r="B18" s="1025" t="s">
        <v>159</v>
      </c>
      <c r="C18" s="1025" t="s">
        <v>550</v>
      </c>
      <c r="D18" s="1047">
        <v>0.04</v>
      </c>
      <c r="E18" s="1024" t="s">
        <v>161</v>
      </c>
      <c r="F18" s="1024">
        <v>3.2</v>
      </c>
      <c r="G18" s="1024" t="s">
        <v>264</v>
      </c>
      <c r="H18" s="1024">
        <v>1</v>
      </c>
      <c r="I18" s="32">
        <f>IF(H18="",D18*F18,D18*F18*H18)</f>
        <v>0.128</v>
      </c>
      <c r="J18" s="57"/>
      <c r="K18" s="57"/>
      <c r="L18" s="57"/>
      <c r="M18" s="57"/>
      <c r="N18" s="57"/>
      <c r="O18" s="65"/>
    </row>
    <row r="19" spans="1:15" x14ac:dyDescent="0.3">
      <c r="A19" s="67"/>
      <c r="B19" s="24"/>
      <c r="C19" s="24"/>
      <c r="D19" s="24"/>
      <c r="E19" s="24"/>
      <c r="F19" s="24"/>
      <c r="G19" s="24"/>
      <c r="H19" s="111" t="s">
        <v>18</v>
      </c>
      <c r="I19" s="1022">
        <f>SUM(I15:I18)</f>
        <v>2.29</v>
      </c>
      <c r="J19" s="24"/>
      <c r="K19" s="24"/>
      <c r="L19" s="24"/>
      <c r="M19" s="24"/>
      <c r="N19" s="24"/>
      <c r="O19" s="62"/>
    </row>
    <row r="20" spans="1:15" x14ac:dyDescent="0.3">
      <c r="A20" s="63"/>
      <c r="B20" s="56"/>
      <c r="C20" s="56"/>
      <c r="D20" s="56"/>
      <c r="E20" s="56"/>
      <c r="F20" s="56"/>
      <c r="G20" s="56"/>
      <c r="H20" s="56"/>
      <c r="I20" s="57"/>
      <c r="J20" s="56"/>
      <c r="K20" s="56"/>
      <c r="L20" s="56"/>
      <c r="M20" s="56"/>
      <c r="N20" s="56"/>
      <c r="O20" s="62"/>
    </row>
    <row r="21" spans="1:15" ht="15" thickBot="1" x14ac:dyDescent="0.35">
      <c r="A21" s="69"/>
      <c r="B21" s="70"/>
      <c r="C21" s="70"/>
      <c r="D21" s="70"/>
      <c r="E21" s="70"/>
      <c r="F21" s="70"/>
      <c r="G21" s="70"/>
      <c r="H21" s="70"/>
      <c r="I21" s="70"/>
      <c r="J21" s="70"/>
      <c r="K21" s="70"/>
      <c r="L21" s="70"/>
      <c r="M21" s="70"/>
      <c r="N21" s="70"/>
      <c r="O21" s="71"/>
    </row>
  </sheetData>
  <hyperlinks>
    <hyperlink ref="E3" location="dSU_10002" display="Drawing"/>
    <hyperlink ref="B4" location="SU_A1000" display="SU_A1000"/>
    <hyperlink ref="G2" location="SU_A10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1" max="16383" man="1"/>
    <brk id="55" max="16383" man="1"/>
  </rowBreaks>
  <drawing r:id="rId2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85" zoomScaleNormal="85"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1015" t="s">
        <v>571</v>
      </c>
    </row>
  </sheetData>
  <hyperlinks>
    <hyperlink ref="B1" location="SU_10002" display="SU_10002"/>
  </hyperlinks>
  <pageMargins left="0.7" right="0.7" top="0.75" bottom="0.75" header="0.3" footer="0.3"/>
  <pageSetup paperSize="9" fitToHeight="0" orientation="portrait" r:id="rId1"/>
  <drawing r:id="rId2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4"/>
  <sheetViews>
    <sheetView zoomScale="110" zoomScaleNormal="110" workbookViewId="0">
      <selection activeCell="N3" sqref="N3"/>
    </sheetView>
  </sheetViews>
  <sheetFormatPr baseColWidth="10" defaultColWidth="9.109375" defaultRowHeight="14.4" x14ac:dyDescent="0.3"/>
  <cols>
    <col min="2" max="2" width="17.6640625" customWidth="1"/>
    <col min="3" max="3" width="27.33203125" customWidth="1"/>
    <col min="14" max="14" width="12.5546875" bestFit="1" customWidth="1"/>
    <col min="15" max="15" width="3.1093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1036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>
        <f>SU_10003_m+SU_10003_p</f>
        <v>18.677843750000001</v>
      </c>
      <c r="O2" s="276"/>
    </row>
    <row r="3" spans="1:15" x14ac:dyDescent="0.3">
      <c r="A3" s="1036" t="s">
        <v>3</v>
      </c>
      <c r="B3" s="16" t="str">
        <f>'SU A1000'!B3</f>
        <v>Wheels &amp; Tires</v>
      </c>
      <c r="C3" s="56"/>
      <c r="D3" s="1014" t="s">
        <v>6</v>
      </c>
      <c r="E3" s="283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</v>
      </c>
      <c r="O3" s="276"/>
    </row>
    <row r="4" spans="1:15" x14ac:dyDescent="0.3">
      <c r="A4" s="1036" t="s">
        <v>5</v>
      </c>
      <c r="B4" s="283" t="str">
        <f>'SU A1000'!B4</f>
        <v>Front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276"/>
    </row>
    <row r="5" spans="1:15" x14ac:dyDescent="0.3">
      <c r="A5" s="1036" t="s">
        <v>15</v>
      </c>
      <c r="B5" s="18" t="s">
        <v>510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>
        <f>N3*N2</f>
        <v>18.677843750000001</v>
      </c>
      <c r="O5" s="276"/>
    </row>
    <row r="6" spans="1:15" x14ac:dyDescent="0.3">
      <c r="A6" s="1036" t="s">
        <v>7</v>
      </c>
      <c r="B6" s="28" t="s">
        <v>552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276"/>
    </row>
    <row r="7" spans="1:15" x14ac:dyDescent="0.3">
      <c r="A7" s="1036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76"/>
    </row>
    <row r="8" spans="1:15" x14ac:dyDescent="0.3">
      <c r="A8" s="1036" t="s">
        <v>13</v>
      </c>
      <c r="B8" s="16" t="s">
        <v>553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76"/>
    </row>
    <row r="9" spans="1:15" x14ac:dyDescent="0.3">
      <c r="A9" s="1037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76"/>
    </row>
    <row r="10" spans="1:15" x14ac:dyDescent="0.3">
      <c r="A10" s="1038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276"/>
    </row>
    <row r="11" spans="1:15" s="22" customFormat="1" x14ac:dyDescent="0.3">
      <c r="A11" s="1039">
        <v>10</v>
      </c>
      <c r="B11" s="682" t="s">
        <v>554</v>
      </c>
      <c r="C11" s="20"/>
      <c r="D11" s="289">
        <v>2.25</v>
      </c>
      <c r="E11" s="1020">
        <f>J11*K11*L11</f>
        <v>1.236375</v>
      </c>
      <c r="F11" s="20" t="s">
        <v>212</v>
      </c>
      <c r="G11" s="20"/>
      <c r="H11" s="290"/>
      <c r="I11" s="21" t="s">
        <v>555</v>
      </c>
      <c r="J11" s="1021">
        <f>0.05*0.07</f>
        <v>3.5000000000000005E-3</v>
      </c>
      <c r="K11" s="685">
        <v>4.4999999999999998E-2</v>
      </c>
      <c r="L11" s="686">
        <v>7850</v>
      </c>
      <c r="M11" s="23">
        <v>1</v>
      </c>
      <c r="N11" s="289">
        <f>D11*E11</f>
        <v>2.7818437500000002</v>
      </c>
      <c r="O11" s="735"/>
    </row>
    <row r="12" spans="1:15" x14ac:dyDescent="0.3">
      <c r="A12" s="736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2.7818437500000002</v>
      </c>
      <c r="O12" s="276"/>
    </row>
    <row r="13" spans="1:15" x14ac:dyDescent="0.3">
      <c r="A13" s="722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76"/>
    </row>
    <row r="14" spans="1:15" x14ac:dyDescent="0.3">
      <c r="A14" s="1040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276"/>
    </row>
    <row r="15" spans="1:15" s="25" customFormat="1" x14ac:dyDescent="0.3">
      <c r="A15" s="1041">
        <v>10</v>
      </c>
      <c r="B15" s="673" t="s">
        <v>535</v>
      </c>
      <c r="C15" s="673" t="s">
        <v>536</v>
      </c>
      <c r="D15" s="285">
        <v>1.3</v>
      </c>
      <c r="E15" s="1013" t="s">
        <v>32</v>
      </c>
      <c r="F15" s="1013">
        <v>1</v>
      </c>
      <c r="G15" s="1013"/>
      <c r="H15" s="1013">
        <v>1</v>
      </c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737"/>
    </row>
    <row r="16" spans="1:15" x14ac:dyDescent="0.3">
      <c r="A16" s="1041">
        <v>20</v>
      </c>
      <c r="B16" s="673" t="s">
        <v>159</v>
      </c>
      <c r="C16" s="673" t="s">
        <v>556</v>
      </c>
      <c r="D16" s="285">
        <v>0.04</v>
      </c>
      <c r="E16" s="1013" t="s">
        <v>161</v>
      </c>
      <c r="F16" s="1013">
        <v>85.4</v>
      </c>
      <c r="G16" s="1013" t="s">
        <v>413</v>
      </c>
      <c r="H16" s="1013">
        <v>3</v>
      </c>
      <c r="I16" s="289">
        <f>IF(H16="",D16*F16,D16*F16*H16)</f>
        <v>10.248000000000001</v>
      </c>
      <c r="J16" s="56"/>
      <c r="K16" s="56"/>
      <c r="L16" s="56"/>
      <c r="M16" s="56"/>
      <c r="N16" s="56"/>
      <c r="O16" s="276"/>
    </row>
    <row r="17" spans="1:15" s="17" customFormat="1" x14ac:dyDescent="0.3">
      <c r="A17" s="1041">
        <v>30</v>
      </c>
      <c r="B17" s="673" t="s">
        <v>158</v>
      </c>
      <c r="C17" s="673" t="s">
        <v>538</v>
      </c>
      <c r="D17" s="285">
        <v>0.65</v>
      </c>
      <c r="E17" s="1013" t="s">
        <v>32</v>
      </c>
      <c r="F17" s="1013">
        <v>1</v>
      </c>
      <c r="G17" s="1013"/>
      <c r="H17" s="1013">
        <v>1</v>
      </c>
      <c r="I17" s="289">
        <f t="shared" si="0"/>
        <v>0.65</v>
      </c>
      <c r="J17" s="57"/>
      <c r="K17" s="57"/>
      <c r="L17" s="57"/>
      <c r="M17" s="57"/>
      <c r="N17" s="57"/>
      <c r="O17" s="740"/>
    </row>
    <row r="18" spans="1:15" s="17" customFormat="1" x14ac:dyDescent="0.3">
      <c r="A18" s="1041">
        <v>40</v>
      </c>
      <c r="B18" s="673" t="s">
        <v>159</v>
      </c>
      <c r="C18" s="673" t="s">
        <v>557</v>
      </c>
      <c r="D18" s="285">
        <v>0.04</v>
      </c>
      <c r="E18" s="1013" t="s">
        <v>161</v>
      </c>
      <c r="F18" s="1013">
        <v>25.2</v>
      </c>
      <c r="G18" s="1013" t="s">
        <v>413</v>
      </c>
      <c r="H18" s="1013">
        <v>3</v>
      </c>
      <c r="I18" s="289">
        <f>IF(H18="",D18*F18,D18*F18*H18)</f>
        <v>3.024</v>
      </c>
      <c r="J18" s="57"/>
      <c r="K18" s="57"/>
      <c r="L18" s="57"/>
      <c r="M18" s="57"/>
      <c r="N18" s="57"/>
      <c r="O18" s="740"/>
    </row>
    <row r="19" spans="1:15" s="17" customFormat="1" x14ac:dyDescent="0.3">
      <c r="A19" s="1041">
        <v>50</v>
      </c>
      <c r="B19" s="673" t="s">
        <v>158</v>
      </c>
      <c r="C19" s="673" t="s">
        <v>538</v>
      </c>
      <c r="D19" s="285">
        <v>0.65</v>
      </c>
      <c r="E19" s="1013" t="s">
        <v>32</v>
      </c>
      <c r="F19" s="1013">
        <v>1</v>
      </c>
      <c r="G19" s="1013"/>
      <c r="H19" s="1013">
        <v>1</v>
      </c>
      <c r="I19" s="289">
        <f t="shared" si="0"/>
        <v>0.65</v>
      </c>
      <c r="J19" s="57"/>
      <c r="K19" s="57"/>
      <c r="L19" s="57"/>
      <c r="M19" s="57"/>
      <c r="N19" s="57"/>
      <c r="O19" s="740"/>
    </row>
    <row r="20" spans="1:15" s="17" customFormat="1" x14ac:dyDescent="0.3">
      <c r="A20" s="1041">
        <v>60</v>
      </c>
      <c r="B20" s="673" t="s">
        <v>159</v>
      </c>
      <c r="C20" s="673" t="s">
        <v>558</v>
      </c>
      <c r="D20" s="285">
        <v>0.04</v>
      </c>
      <c r="E20" s="1013" t="s">
        <v>161</v>
      </c>
      <c r="F20" s="1013">
        <v>0.2</v>
      </c>
      <c r="G20" s="1013" t="s">
        <v>413</v>
      </c>
      <c r="H20" s="1013">
        <v>3</v>
      </c>
      <c r="I20" s="289">
        <f>IF(H20="",D20*F20,D20*F20*H20)</f>
        <v>2.4E-2</v>
      </c>
      <c r="J20" s="57"/>
      <c r="K20" s="57"/>
      <c r="L20" s="57"/>
      <c r="M20" s="57"/>
      <c r="N20" s="57"/>
      <c r="O20" s="740"/>
    </row>
    <row r="21" spans="1:15" x14ac:dyDescent="0.3">
      <c r="A21" s="1041">
        <v>70</v>
      </c>
      <c r="B21" s="673" t="s">
        <v>158</v>
      </c>
      <c r="C21" s="673" t="s">
        <v>538</v>
      </c>
      <c r="D21" s="285">
        <v>0.65</v>
      </c>
      <c r="E21" s="1013" t="s">
        <v>32</v>
      </c>
      <c r="F21" s="1013">
        <v>1</v>
      </c>
      <c r="G21" s="1013"/>
      <c r="H21" s="1013">
        <v>1</v>
      </c>
      <c r="I21" s="289">
        <f t="shared" ref="I21" si="1">IF(H21="",D21*F21,D21*F21*H21)</f>
        <v>0.65</v>
      </c>
      <c r="J21" s="24"/>
      <c r="K21" s="24"/>
      <c r="L21" s="24"/>
      <c r="M21" s="24"/>
      <c r="N21" s="24"/>
      <c r="O21" s="276"/>
    </row>
    <row r="22" spans="1:15" x14ac:dyDescent="0.3">
      <c r="A22" s="1041">
        <v>80</v>
      </c>
      <c r="B22" s="673" t="s">
        <v>159</v>
      </c>
      <c r="C22" s="673" t="s">
        <v>559</v>
      </c>
      <c r="D22" s="285">
        <v>0.04</v>
      </c>
      <c r="E22" s="1013" t="s">
        <v>161</v>
      </c>
      <c r="F22" s="1013">
        <v>3.56</v>
      </c>
      <c r="G22" s="1013" t="s">
        <v>413</v>
      </c>
      <c r="H22" s="1011">
        <v>3</v>
      </c>
      <c r="I22" s="1056">
        <f>IF(H22="",D22*F22,D22*F22*H22)</f>
        <v>0.42720000000000002</v>
      </c>
      <c r="J22" s="56"/>
      <c r="K22" s="56"/>
      <c r="L22" s="56"/>
      <c r="M22" s="56"/>
      <c r="N22" s="56"/>
      <c r="O22" s="276"/>
    </row>
    <row r="23" spans="1:15" x14ac:dyDescent="0.3">
      <c r="A23" s="722"/>
      <c r="B23" s="56"/>
      <c r="C23" s="56"/>
      <c r="D23" s="56"/>
      <c r="E23" s="56"/>
      <c r="F23" s="56"/>
      <c r="G23" s="56"/>
      <c r="H23" s="108" t="s">
        <v>18</v>
      </c>
      <c r="I23" s="1057">
        <f>SUM(I15:I20)</f>
        <v>15.896000000000001</v>
      </c>
      <c r="J23" s="56"/>
      <c r="K23" s="56"/>
      <c r="L23" s="56"/>
      <c r="M23" s="56"/>
      <c r="N23" s="56"/>
      <c r="O23" s="276"/>
    </row>
    <row r="24" spans="1:15" ht="15" thickBot="1" x14ac:dyDescent="0.35">
      <c r="A24" s="296"/>
      <c r="B24" s="297"/>
      <c r="C24" s="297"/>
      <c r="D24" s="297"/>
      <c r="E24" s="297"/>
      <c r="F24" s="297"/>
      <c r="G24" s="297"/>
      <c r="H24" s="297"/>
      <c r="I24" s="297"/>
      <c r="J24" s="297"/>
      <c r="K24" s="297"/>
      <c r="L24" s="297"/>
      <c r="M24" s="297"/>
      <c r="N24" s="297"/>
      <c r="O24" s="298"/>
    </row>
  </sheetData>
  <hyperlinks>
    <hyperlink ref="E3" location="dSU_10003" display="Drawing"/>
    <hyperlink ref="B4" location="SU_A1000" display="SU_A1000"/>
    <hyperlink ref="G2" location="SU_A10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3" max="16383" man="1"/>
    <brk id="57" max="16383" man="1"/>
  </rowBreaks>
  <drawing r:id="rId2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1015" t="s">
        <v>572</v>
      </c>
    </row>
  </sheetData>
  <hyperlinks>
    <hyperlink ref="B1" location="SU_10003" display="SU_10003"/>
  </hyperlinks>
  <pageMargins left="0.7" right="0.7" top="0.75" bottom="0.75" header="0.3" footer="0.3"/>
  <pageSetup paperSize="9" fitToHeight="0" orientation="portrait" r:id="rId1"/>
  <drawing r:id="rId2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="90" zoomScaleNormal="90" workbookViewId="0">
      <selection activeCell="N3" sqref="N3"/>
    </sheetView>
  </sheetViews>
  <sheetFormatPr baseColWidth="10" defaultColWidth="9.109375" defaultRowHeight="14.4" x14ac:dyDescent="0.3"/>
  <cols>
    <col min="2" max="2" width="18.88671875" customWidth="1"/>
    <col min="3" max="3" width="13.44140625" customWidth="1"/>
    <col min="7" max="7" width="11.6640625" customWidth="1"/>
    <col min="9" max="9" width="13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14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>
        <f>SU_10004_m+SU_10004_p</f>
        <v>0.83572750000000007</v>
      </c>
      <c r="O2" s="62"/>
    </row>
    <row r="3" spans="1:15" x14ac:dyDescent="0.3">
      <c r="A3" s="1014" t="s">
        <v>3</v>
      </c>
      <c r="B3" s="16" t="str">
        <f>'SU A1000'!B3</f>
        <v>Wheels &amp; Tires</v>
      </c>
      <c r="C3" s="56"/>
      <c r="D3" s="1014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</v>
      </c>
      <c r="O3" s="62"/>
    </row>
    <row r="4" spans="1:15" x14ac:dyDescent="0.3">
      <c r="A4" s="1014" t="s">
        <v>5</v>
      </c>
      <c r="B4" s="283" t="str">
        <f>'SU A1000'!B4</f>
        <v>Front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62"/>
    </row>
    <row r="5" spans="1:15" x14ac:dyDescent="0.3">
      <c r="A5" s="1014" t="s">
        <v>15</v>
      </c>
      <c r="B5" s="18" t="s">
        <v>560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>
        <f>N3*N2</f>
        <v>0.83572750000000007</v>
      </c>
      <c r="O5" s="62"/>
    </row>
    <row r="6" spans="1:15" x14ac:dyDescent="0.3">
      <c r="A6" s="1014" t="s">
        <v>7</v>
      </c>
      <c r="B6" s="28" t="s">
        <v>561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62"/>
    </row>
    <row r="7" spans="1:15" x14ac:dyDescent="0.3">
      <c r="A7" s="1014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14" t="s">
        <v>13</v>
      </c>
      <c r="B8" s="16" t="s">
        <v>562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17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62"/>
    </row>
    <row r="11" spans="1:15" s="25" customFormat="1" ht="28.8" x14ac:dyDescent="0.3">
      <c r="A11" s="1048">
        <v>10</v>
      </c>
      <c r="B11" s="987" t="s">
        <v>375</v>
      </c>
      <c r="C11" s="988"/>
      <c r="D11" s="32">
        <v>2.25</v>
      </c>
      <c r="E11" s="1043">
        <f>J11*K11*L11</f>
        <v>1.099E-2</v>
      </c>
      <c r="F11" s="988" t="s">
        <v>212</v>
      </c>
      <c r="G11" s="988"/>
      <c r="H11" s="990"/>
      <c r="I11" s="847" t="s">
        <v>563</v>
      </c>
      <c r="J11" s="1044">
        <f>(35*40*10^(-6))</f>
        <v>1.4E-3</v>
      </c>
      <c r="K11" s="1045">
        <v>1E-3</v>
      </c>
      <c r="L11" s="1000">
        <v>7850</v>
      </c>
      <c r="M11" s="1001">
        <v>1</v>
      </c>
      <c r="N11" s="32">
        <f>D11*E11</f>
        <v>2.4727499999999999E-2</v>
      </c>
      <c r="O11" s="68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2.4727499999999999E-2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23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24">
        <v>10</v>
      </c>
      <c r="B15" s="1025" t="s">
        <v>535</v>
      </c>
      <c r="C15" s="1025" t="s">
        <v>549</v>
      </c>
      <c r="D15" s="1047">
        <v>1.3</v>
      </c>
      <c r="E15" s="1024" t="s">
        <v>32</v>
      </c>
      <c r="F15" s="1024">
        <v>1</v>
      </c>
      <c r="G15" s="1024" t="s">
        <v>564</v>
      </c>
      <c r="H15" s="1024">
        <v>0.5</v>
      </c>
      <c r="I15" s="32">
        <f>IF(H15="",D15*F15,D15*F15*H15)</f>
        <v>0.65</v>
      </c>
      <c r="J15" s="58"/>
      <c r="K15" s="58"/>
      <c r="L15" s="58"/>
      <c r="M15" s="58"/>
      <c r="N15" s="58"/>
      <c r="O15" s="68"/>
    </row>
    <row r="16" spans="1:15" x14ac:dyDescent="0.3">
      <c r="A16" s="1024">
        <v>20</v>
      </c>
      <c r="B16" s="1025" t="s">
        <v>421</v>
      </c>
      <c r="C16" s="1025"/>
      <c r="D16" s="1047">
        <v>0.01</v>
      </c>
      <c r="E16" s="1024" t="s">
        <v>40</v>
      </c>
      <c r="F16" s="1024">
        <v>16.100000000000001</v>
      </c>
      <c r="G16" s="681"/>
      <c r="H16" s="1049">
        <v>1</v>
      </c>
      <c r="I16" s="32">
        <f>F16*D16</f>
        <v>0.161</v>
      </c>
      <c r="J16" s="56"/>
      <c r="K16" s="56"/>
      <c r="L16" s="56"/>
      <c r="M16" s="56"/>
      <c r="N16" s="56"/>
      <c r="O16" s="62"/>
    </row>
    <row r="17" spans="1:15" x14ac:dyDescent="0.3">
      <c r="A17" s="1024">
        <v>30</v>
      </c>
      <c r="B17" s="1025" t="s">
        <v>565</v>
      </c>
      <c r="C17" s="1025"/>
      <c r="D17" s="1026">
        <v>0.25</v>
      </c>
      <c r="E17" s="1024" t="s">
        <v>566</v>
      </c>
      <c r="F17" s="1024">
        <v>2</v>
      </c>
      <c r="G17" s="1024"/>
      <c r="H17" s="1024">
        <v>1</v>
      </c>
      <c r="I17" s="32">
        <f>F17*D17</f>
        <v>0.5</v>
      </c>
      <c r="J17" s="24"/>
      <c r="K17" s="24"/>
      <c r="L17" s="24"/>
      <c r="M17" s="24"/>
      <c r="N17" s="24"/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111" t="s">
        <v>18</v>
      </c>
      <c r="I18" s="1022">
        <f>SUM(I15:I16)</f>
        <v>0.81100000000000005</v>
      </c>
      <c r="J18" s="56"/>
      <c r="K18" s="56"/>
      <c r="L18" s="56"/>
      <c r="M18" s="56"/>
      <c r="N18" s="56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0004" display="Drawing"/>
    <hyperlink ref="B4" location="SU_A1000" display="SU_A1000"/>
    <hyperlink ref="G2" location="SU_A10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19" max="16383" man="1"/>
    <brk id="53" max="16383" man="1"/>
  </rowBreaks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9"/>
  <sheetViews>
    <sheetView workbookViewId="0">
      <selection activeCell="G2" sqref="G2"/>
    </sheetView>
  </sheetViews>
  <sheetFormatPr baseColWidth="10" defaultRowHeight="14.4" x14ac:dyDescent="0.3"/>
  <cols>
    <col min="2" max="2" width="18.6640625" customWidth="1"/>
    <col min="3" max="3" width="20" customWidth="1"/>
    <col min="5" max="5" width="9.109375" customWidth="1"/>
    <col min="7" max="7" width="12.6640625" customWidth="1"/>
    <col min="11" max="11" width="8.6640625" customWidth="1"/>
    <col min="14" max="14" width="9.44140625" customWidth="1"/>
  </cols>
  <sheetData>
    <row r="1" spans="1:15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5" x14ac:dyDescent="0.3">
      <c r="A2" s="350" t="s">
        <v>0</v>
      </c>
      <c r="B2" s="351" t="s">
        <v>37</v>
      </c>
      <c r="C2" s="352"/>
      <c r="D2" s="352"/>
      <c r="E2" s="352"/>
      <c r="F2" s="352"/>
      <c r="G2" s="353" t="s">
        <v>126</v>
      </c>
      <c r="H2" s="352"/>
      <c r="I2" s="352"/>
      <c r="J2" s="354" t="s">
        <v>1</v>
      </c>
      <c r="K2" s="355">
        <v>81</v>
      </c>
      <c r="L2" s="352"/>
      <c r="M2" s="350" t="s">
        <v>16</v>
      </c>
      <c r="N2" s="356">
        <f>N12+I18</f>
        <v>1.1551782399999999</v>
      </c>
      <c r="O2" s="357"/>
    </row>
    <row r="3" spans="1:15" x14ac:dyDescent="0.3">
      <c r="A3" s="350" t="s">
        <v>3</v>
      </c>
      <c r="B3" s="351" t="str">
        <f>'SU A0100'!B3</f>
        <v>Suspension &amp; Shocks</v>
      </c>
      <c r="C3" s="352"/>
      <c r="D3" s="350" t="s">
        <v>6</v>
      </c>
      <c r="E3" s="394" t="s">
        <v>86</v>
      </c>
      <c r="F3" s="352"/>
      <c r="G3" s="352"/>
      <c r="H3" s="352"/>
      <c r="I3" s="352"/>
      <c r="J3" s="352"/>
      <c r="K3" s="352"/>
      <c r="L3" s="352"/>
      <c r="M3" s="350" t="s">
        <v>4</v>
      </c>
      <c r="N3" s="359">
        <v>4</v>
      </c>
      <c r="O3" s="357"/>
    </row>
    <row r="4" spans="1:15" x14ac:dyDescent="0.3">
      <c r="A4" s="350" t="s">
        <v>5</v>
      </c>
      <c r="B4" s="353" t="str">
        <f>'SU A0100'!B4</f>
        <v>Upper Front A-arm</v>
      </c>
      <c r="C4" s="352"/>
      <c r="D4" s="350" t="s">
        <v>8</v>
      </c>
      <c r="E4" s="352"/>
      <c r="F4" s="352"/>
      <c r="G4" s="352"/>
      <c r="H4" s="352"/>
      <c r="I4" s="352"/>
      <c r="J4" s="360" t="s">
        <v>6</v>
      </c>
      <c r="K4" s="352"/>
      <c r="L4" s="352"/>
      <c r="M4" s="352"/>
      <c r="N4" s="352"/>
      <c r="O4" s="357"/>
    </row>
    <row r="5" spans="1:15" x14ac:dyDescent="0.3">
      <c r="A5" s="350" t="s">
        <v>15</v>
      </c>
      <c r="B5" s="395" t="s">
        <v>192</v>
      </c>
      <c r="C5" s="352"/>
      <c r="D5" s="350" t="s">
        <v>12</v>
      </c>
      <c r="E5" s="352"/>
      <c r="F5" s="352"/>
      <c r="G5" s="352"/>
      <c r="H5" s="352"/>
      <c r="I5" s="352"/>
      <c r="J5" s="360" t="s">
        <v>8</v>
      </c>
      <c r="K5" s="352"/>
      <c r="L5" s="352"/>
      <c r="M5" s="350" t="s">
        <v>9</v>
      </c>
      <c r="N5" s="356">
        <f>N3*N2</f>
        <v>4.6207129599999996</v>
      </c>
      <c r="O5" s="357"/>
    </row>
    <row r="6" spans="1:15" x14ac:dyDescent="0.3">
      <c r="A6" s="350" t="s">
        <v>7</v>
      </c>
      <c r="B6" s="362" t="s">
        <v>194</v>
      </c>
      <c r="C6" s="352"/>
      <c r="D6" s="352"/>
      <c r="E6" s="352"/>
      <c r="F6" s="352"/>
      <c r="G6" s="352"/>
      <c r="H6" s="352"/>
      <c r="I6" s="352"/>
      <c r="J6" s="360" t="s">
        <v>12</v>
      </c>
      <c r="K6" s="352"/>
      <c r="L6" s="352"/>
      <c r="M6" s="352"/>
      <c r="N6" s="352"/>
      <c r="O6" s="357"/>
    </row>
    <row r="7" spans="1:15" x14ac:dyDescent="0.3">
      <c r="A7" s="350" t="s">
        <v>10</v>
      </c>
      <c r="B7" s="351" t="s">
        <v>11</v>
      </c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5" x14ac:dyDescent="0.3">
      <c r="A8" s="350" t="s">
        <v>13</v>
      </c>
      <c r="B8" s="351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5" x14ac:dyDescent="0.3">
      <c r="A9" s="363"/>
      <c r="B9" s="364"/>
      <c r="C9" s="364"/>
      <c r="D9" s="364"/>
      <c r="E9" s="364"/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5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5" x14ac:dyDescent="0.3">
      <c r="A11" s="322">
        <v>10</v>
      </c>
      <c r="B11" s="523" t="s">
        <v>278</v>
      </c>
      <c r="C11" s="573"/>
      <c r="D11" s="574">
        <v>2.25</v>
      </c>
      <c r="E11" s="374">
        <f>J11*K11*L11</f>
        <v>6.3101440000000009E-2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401">
        <v>0.04</v>
      </c>
      <c r="L11" s="377">
        <v>7850</v>
      </c>
      <c r="M11" s="378">
        <v>1</v>
      </c>
      <c r="N11" s="379">
        <f>D11*E11*M11</f>
        <v>0.14197824000000003</v>
      </c>
      <c r="O11" s="380"/>
    </row>
    <row r="12" spans="1:15" x14ac:dyDescent="0.3">
      <c r="A12" s="381"/>
      <c r="B12" s="382"/>
      <c r="C12" s="382"/>
      <c r="D12" s="382"/>
      <c r="E12" s="382"/>
      <c r="F12" s="382"/>
      <c r="G12" s="382"/>
      <c r="H12" s="382"/>
      <c r="I12" s="382"/>
      <c r="J12" s="382"/>
      <c r="K12" s="382"/>
      <c r="L12" s="382"/>
      <c r="M12" s="383" t="s">
        <v>18</v>
      </c>
      <c r="N12" s="384">
        <f>SUM(N11:N11)</f>
        <v>0.14197824000000003</v>
      </c>
      <c r="O12" s="357"/>
    </row>
    <row r="13" spans="1:15" x14ac:dyDescent="0.3">
      <c r="A13" s="385"/>
      <c r="B13" s="352"/>
      <c r="C13" s="352"/>
      <c r="D13" s="352"/>
      <c r="E13" s="352"/>
      <c r="F13" s="352"/>
      <c r="G13" s="352"/>
      <c r="H13" s="352"/>
      <c r="I13" s="352"/>
      <c r="J13" s="352"/>
      <c r="K13" s="352"/>
      <c r="L13" s="352"/>
      <c r="M13" s="352"/>
      <c r="N13" s="352"/>
      <c r="O13" s="357"/>
    </row>
    <row r="14" spans="1:15" x14ac:dyDescent="0.3">
      <c r="A14" s="386" t="s">
        <v>14</v>
      </c>
      <c r="B14" s="367" t="s">
        <v>31</v>
      </c>
      <c r="C14" s="367" t="s">
        <v>20</v>
      </c>
      <c r="D14" s="367" t="s">
        <v>21</v>
      </c>
      <c r="E14" s="367" t="s">
        <v>32</v>
      </c>
      <c r="F14" s="367" t="s">
        <v>17</v>
      </c>
      <c r="G14" s="367" t="s">
        <v>33</v>
      </c>
      <c r="H14" s="367" t="s">
        <v>34</v>
      </c>
      <c r="I14" s="367" t="s">
        <v>18</v>
      </c>
      <c r="J14" s="382"/>
      <c r="K14" s="382"/>
      <c r="L14" s="382"/>
      <c r="M14" s="382"/>
      <c r="N14" s="382"/>
      <c r="O14" s="357"/>
    </row>
    <row r="15" spans="1:15" ht="29.4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5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0.11</v>
      </c>
      <c r="G16" s="397" t="s">
        <v>268</v>
      </c>
      <c r="H16" s="397">
        <v>3</v>
      </c>
      <c r="I16" s="346">
        <f>IF(H16="",D16*F16,D16*F16*H16)</f>
        <v>1.32E-2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381"/>
      <c r="B18" s="382"/>
      <c r="C18" s="382"/>
      <c r="D18" s="382"/>
      <c r="E18" s="382"/>
      <c r="F18" s="382"/>
      <c r="G18" s="382"/>
      <c r="H18" s="390" t="s">
        <v>18</v>
      </c>
      <c r="I18" s="384">
        <f>SUM(I15:I17)</f>
        <v>1.0131999999999999</v>
      </c>
      <c r="J18" s="382"/>
      <c r="K18" s="382"/>
      <c r="L18" s="382"/>
      <c r="M18" s="382"/>
      <c r="N18" s="382"/>
      <c r="O18" s="357"/>
    </row>
    <row r="19" spans="1:15" ht="15" thickBot="1" x14ac:dyDescent="0.35">
      <c r="A19" s="391"/>
      <c r="B19" s="392"/>
      <c r="C19" s="392"/>
      <c r="D19" s="392"/>
      <c r="E19" s="392"/>
      <c r="F19" s="392"/>
      <c r="G19" s="392"/>
      <c r="H19" s="392"/>
      <c r="I19" s="392"/>
      <c r="J19" s="392"/>
      <c r="K19" s="392"/>
      <c r="L19" s="392"/>
      <c r="M19" s="392"/>
      <c r="N19" s="392"/>
      <c r="O19" s="393"/>
    </row>
  </sheetData>
  <hyperlinks>
    <hyperlink ref="B4" location="'SU A0100'!A1" display="'SU A0100'!A1"/>
    <hyperlink ref="E3" location="dSU_01006" display="Drawing"/>
    <hyperlink ref="G2" location="SU_A0100_BOM" display="Back to BOM"/>
  </hyperlinks>
  <pageMargins left="0.7" right="0.7" top="0.75" bottom="0.75" header="0.3" footer="0.3"/>
  <pageSetup paperSize="9" orientation="portrait" r:id="rId1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287" t="s">
        <v>573</v>
      </c>
    </row>
  </sheetData>
  <hyperlinks>
    <hyperlink ref="B1" location="SU_10004" display="SU_10004"/>
  </hyperlinks>
  <pageMargins left="0.7" right="0.7" top="0.75" bottom="0.75" header="0.3" footer="0.3"/>
  <pageSetup paperSize="9" fitToHeight="0" orientation="portrait" r:id="rId1"/>
  <drawing r:id="rId2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="90" zoomScaleNormal="90" workbookViewId="0">
      <selection activeCell="B4" sqref="B4"/>
    </sheetView>
  </sheetViews>
  <sheetFormatPr baseColWidth="10" defaultColWidth="9.109375" defaultRowHeight="14.4" x14ac:dyDescent="0.3"/>
  <cols>
    <col min="2" max="2" width="19.109375" customWidth="1"/>
    <col min="7" max="7" width="11.5546875" customWidth="1"/>
    <col min="9" max="9" width="15.44140625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14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>
        <f>SU_10005_m+SU_10005_p</f>
        <v>0.42691833333333334</v>
      </c>
      <c r="O2" s="62"/>
    </row>
    <row r="3" spans="1:15" x14ac:dyDescent="0.3">
      <c r="A3" s="1014" t="s">
        <v>3</v>
      </c>
      <c r="B3" s="16" t="str">
        <f>'SU A1000'!B3</f>
        <v>Wheels &amp; Tires</v>
      </c>
      <c r="C3" s="56"/>
      <c r="D3" s="1014" t="s">
        <v>6</v>
      </c>
      <c r="E3" s="1015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15</v>
      </c>
      <c r="O3" s="62"/>
    </row>
    <row r="4" spans="1:15" x14ac:dyDescent="0.3">
      <c r="A4" s="1014" t="s">
        <v>5</v>
      </c>
      <c r="B4" s="283" t="str">
        <f>'SU A1000'!B4</f>
        <v>Front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62"/>
    </row>
    <row r="5" spans="1:15" x14ac:dyDescent="0.3">
      <c r="A5" s="1014" t="s">
        <v>15</v>
      </c>
      <c r="B5" s="18" t="s">
        <v>512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>
        <f>N3*N2</f>
        <v>6.4037750000000004</v>
      </c>
      <c r="O5" s="62"/>
    </row>
    <row r="6" spans="1:15" x14ac:dyDescent="0.3">
      <c r="A6" s="1014" t="s">
        <v>7</v>
      </c>
      <c r="B6" s="28" t="s">
        <v>567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62"/>
    </row>
    <row r="7" spans="1:15" x14ac:dyDescent="0.3">
      <c r="A7" s="1014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14" t="s">
        <v>13</v>
      </c>
      <c r="B8" s="16" t="s">
        <v>568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17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62"/>
    </row>
    <row r="11" spans="1:15" s="22" customFormat="1" ht="28.8" x14ac:dyDescent="0.3">
      <c r="A11" s="1048">
        <v>10</v>
      </c>
      <c r="B11" s="783" t="s">
        <v>375</v>
      </c>
      <c r="C11" s="1024"/>
      <c r="D11" s="1047">
        <v>2.25</v>
      </c>
      <c r="E11" s="1043">
        <f>J11*K11*L11</f>
        <v>2.826E-2</v>
      </c>
      <c r="F11" s="988" t="s">
        <v>212</v>
      </c>
      <c r="G11" s="988"/>
      <c r="H11" s="990"/>
      <c r="I11" s="847" t="s">
        <v>569</v>
      </c>
      <c r="J11" s="1044">
        <f>0.08*0.045</f>
        <v>3.5999999999999999E-3</v>
      </c>
      <c r="K11" s="1045">
        <v>1E-3</v>
      </c>
      <c r="L11" s="1000">
        <v>7850</v>
      </c>
      <c r="M11" s="1001">
        <v>1</v>
      </c>
      <c r="N11" s="32">
        <f>D11*E11</f>
        <v>6.3585000000000003E-2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6.3585000000000003E-2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23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24">
        <v>10</v>
      </c>
      <c r="B15" s="1025" t="s">
        <v>535</v>
      </c>
      <c r="C15" s="1025" t="s">
        <v>549</v>
      </c>
      <c r="D15" s="1047">
        <v>1.3</v>
      </c>
      <c r="E15" s="1024" t="s">
        <v>32</v>
      </c>
      <c r="F15" s="1024">
        <v>1</v>
      </c>
      <c r="G15" s="1024" t="s">
        <v>564</v>
      </c>
      <c r="H15" s="1024">
        <f>1/30</f>
        <v>3.3333333333333333E-2</v>
      </c>
      <c r="I15" s="32">
        <f>IF(H15="",D15*F15,D15*F15*H15)</f>
        <v>4.3333333333333335E-2</v>
      </c>
      <c r="J15" s="58"/>
      <c r="K15" s="58"/>
      <c r="L15" s="58"/>
      <c r="M15" s="58"/>
      <c r="N15" s="58"/>
      <c r="O15" s="68"/>
    </row>
    <row r="16" spans="1:15" x14ac:dyDescent="0.3">
      <c r="A16" s="1024">
        <v>20</v>
      </c>
      <c r="B16" s="1025" t="s">
        <v>421</v>
      </c>
      <c r="C16" s="1025"/>
      <c r="D16" s="1047">
        <v>0.01</v>
      </c>
      <c r="E16" s="1024" t="s">
        <v>40</v>
      </c>
      <c r="F16" s="1024">
        <v>32</v>
      </c>
      <c r="G16" s="1024"/>
      <c r="H16" s="1024">
        <v>1</v>
      </c>
      <c r="I16" s="32">
        <f>F16*D16</f>
        <v>0.32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22">
        <f>SUM(I15:I16)</f>
        <v>0.36333333333333334</v>
      </c>
      <c r="J17" s="24"/>
      <c r="K17" s="24"/>
      <c r="L17" s="24"/>
      <c r="M17" s="24"/>
      <c r="N17" s="24"/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56"/>
      <c r="I18" s="57"/>
      <c r="J18" s="56"/>
      <c r="K18" s="56"/>
      <c r="L18" s="56"/>
      <c r="M18" s="56"/>
      <c r="N18" s="56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0005" display="Drawing"/>
    <hyperlink ref="B4" location="SU_A1000" display="SU_A1000"/>
    <hyperlink ref="G2" location="SU_A10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19" max="16383" man="1"/>
    <brk id="53" max="16383" man="1"/>
  </rowBreaks>
  <drawing r:id="rId2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1015" t="s">
        <v>574</v>
      </c>
    </row>
  </sheetData>
  <hyperlinks>
    <hyperlink ref="B1" location="SU_10005" display="SU_10005"/>
  </hyperlinks>
  <pageMargins left="0.7" right="0.7" top="0.75" bottom="0.75" header="0.3" footer="0.3"/>
  <pageSetup paperSize="9" fitToHeight="0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topLeftCell="A7" workbookViewId="0">
      <selection activeCell="B1" sqref="B1"/>
    </sheetView>
  </sheetViews>
  <sheetFormatPr baseColWidth="10" defaultRowHeight="14.4" x14ac:dyDescent="0.3"/>
  <cols>
    <col min="1" max="1" width="15" customWidth="1"/>
  </cols>
  <sheetData>
    <row r="1" spans="1:2" x14ac:dyDescent="0.3">
      <c r="A1" t="s">
        <v>170</v>
      </c>
      <c r="B1" s="89" t="str">
        <f>SU_01006</f>
        <v>SU_01006</v>
      </c>
    </row>
  </sheetData>
  <hyperlinks>
    <hyperlink ref="B1" location="SU_01006" display="SU_01006"/>
  </hyperlinks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7"/>
  <sheetViews>
    <sheetView zoomScale="80" zoomScaleNormal="80" workbookViewId="0">
      <selection activeCell="G2" sqref="G2"/>
    </sheetView>
  </sheetViews>
  <sheetFormatPr baseColWidth="10" defaultRowHeight="14.4" x14ac:dyDescent="0.3"/>
  <cols>
    <col min="2" max="2" width="28.6640625" customWidth="1"/>
    <col min="3" max="3" width="24.33203125" customWidth="1"/>
    <col min="9" max="9" width="15.33203125" customWidth="1"/>
    <col min="10" max="10" width="13.77734375" customWidth="1"/>
    <col min="17" max="17" width="12.88671875" bestFit="1" customWidth="1"/>
  </cols>
  <sheetData>
    <row r="1" spans="1:17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7" x14ac:dyDescent="0.3">
      <c r="A2" s="350" t="s">
        <v>0</v>
      </c>
      <c r="B2" s="351" t="s">
        <v>37</v>
      </c>
      <c r="C2" s="352"/>
      <c r="D2" s="352"/>
      <c r="E2" s="352"/>
      <c r="F2" s="352"/>
      <c r="G2" s="353" t="s">
        <v>126</v>
      </c>
      <c r="H2" s="352"/>
      <c r="I2" s="352"/>
      <c r="J2" s="354" t="s">
        <v>1</v>
      </c>
      <c r="K2" s="355">
        <v>81</v>
      </c>
      <c r="L2" s="352"/>
      <c r="M2" s="350" t="s">
        <v>16</v>
      </c>
      <c r="N2" s="356">
        <f>N12+I16</f>
        <v>0.47719727680000001</v>
      </c>
      <c r="O2" s="357"/>
    </row>
    <row r="3" spans="1:17" x14ac:dyDescent="0.3">
      <c r="A3" s="350" t="s">
        <v>3</v>
      </c>
      <c r="B3" s="351" t="str">
        <f>'SU A0100'!B3</f>
        <v>Suspension &amp; Shocks</v>
      </c>
      <c r="C3" s="352"/>
      <c r="D3" s="350" t="s">
        <v>6</v>
      </c>
      <c r="E3" s="394" t="s">
        <v>86</v>
      </c>
      <c r="F3" s="352"/>
      <c r="G3" s="352"/>
      <c r="H3" s="352"/>
      <c r="I3" s="352"/>
      <c r="J3" s="352"/>
      <c r="K3" s="352"/>
      <c r="L3" s="352"/>
      <c r="M3" s="350" t="s">
        <v>4</v>
      </c>
      <c r="N3" s="359">
        <v>2</v>
      </c>
      <c r="O3" s="357"/>
    </row>
    <row r="4" spans="1:17" x14ac:dyDescent="0.3">
      <c r="A4" s="350" t="s">
        <v>5</v>
      </c>
      <c r="B4" s="353" t="str">
        <f>'SU A0100'!B4</f>
        <v>Upper Front A-arm</v>
      </c>
      <c r="C4" s="352"/>
      <c r="D4" s="350" t="s">
        <v>8</v>
      </c>
      <c r="E4" s="352"/>
      <c r="F4" s="352"/>
      <c r="G4" s="352"/>
      <c r="H4" s="352"/>
      <c r="I4" s="352"/>
      <c r="J4" s="360" t="s">
        <v>6</v>
      </c>
      <c r="K4" s="352"/>
      <c r="L4" s="352"/>
      <c r="M4" s="352"/>
      <c r="N4" s="352"/>
      <c r="O4" s="357"/>
    </row>
    <row r="5" spans="1:17" x14ac:dyDescent="0.3">
      <c r="A5" s="350" t="s">
        <v>15</v>
      </c>
      <c r="B5" s="402" t="s">
        <v>135</v>
      </c>
      <c r="C5" s="352"/>
      <c r="D5" s="350" t="s">
        <v>12</v>
      </c>
      <c r="E5" s="352"/>
      <c r="F5" s="352"/>
      <c r="G5" s="352"/>
      <c r="H5" s="352"/>
      <c r="I5" s="352"/>
      <c r="J5" s="360" t="s">
        <v>8</v>
      </c>
      <c r="K5" s="352"/>
      <c r="L5" s="352"/>
      <c r="M5" s="350" t="s">
        <v>9</v>
      </c>
      <c r="N5" s="356">
        <f>N3*N2</f>
        <v>0.95439455360000003</v>
      </c>
      <c r="O5" s="357"/>
    </row>
    <row r="6" spans="1:17" x14ac:dyDescent="0.3">
      <c r="A6" s="350" t="s">
        <v>7</v>
      </c>
      <c r="B6" s="362" t="s">
        <v>191</v>
      </c>
      <c r="C6" s="352"/>
      <c r="D6" s="352"/>
      <c r="E6" s="352"/>
      <c r="F6" s="352"/>
      <c r="G6" s="352"/>
      <c r="H6" s="352"/>
      <c r="I6" s="352"/>
      <c r="J6" s="360" t="s">
        <v>12</v>
      </c>
      <c r="K6" s="352"/>
      <c r="L6" s="352"/>
      <c r="M6" s="352"/>
      <c r="N6" s="352"/>
      <c r="O6" s="357"/>
    </row>
    <row r="7" spans="1:17" x14ac:dyDescent="0.3">
      <c r="A7" s="350" t="s">
        <v>10</v>
      </c>
      <c r="B7" s="351" t="s">
        <v>11</v>
      </c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7" x14ac:dyDescent="0.3">
      <c r="A8" s="350" t="s">
        <v>13</v>
      </c>
      <c r="B8" s="351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7" x14ac:dyDescent="0.3">
      <c r="A9" s="363"/>
      <c r="B9" s="364"/>
      <c r="C9" s="364"/>
      <c r="D9" s="364"/>
      <c r="E9" s="364"/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7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s="184" customFormat="1" ht="17.399999999999999" customHeight="1" x14ac:dyDescent="0.3">
      <c r="A11" s="403">
        <v>10</v>
      </c>
      <c r="B11" s="404" t="s">
        <v>273</v>
      </c>
      <c r="C11" s="403" t="s">
        <v>274</v>
      </c>
      <c r="D11" s="405">
        <v>4.2</v>
      </c>
      <c r="E11" s="406">
        <v>12</v>
      </c>
      <c r="F11" s="403" t="s">
        <v>30</v>
      </c>
      <c r="G11" s="403"/>
      <c r="H11" s="407"/>
      <c r="I11" s="408" t="s">
        <v>275</v>
      </c>
      <c r="J11" s="409">
        <f>3.14*0.006^2</f>
        <v>1.1304E-4</v>
      </c>
      <c r="K11" s="410">
        <v>0.06</v>
      </c>
      <c r="L11" s="415">
        <v>2710</v>
      </c>
      <c r="M11" s="411">
        <v>1</v>
      </c>
      <c r="N11" s="346">
        <f>IF(J11="",D11*M11,D11*J11*K11*L11*M11)</f>
        <v>7.7197276800000006E-2</v>
      </c>
      <c r="O11" s="416"/>
    </row>
    <row r="12" spans="1:17" x14ac:dyDescent="0.3">
      <c r="A12" s="381"/>
      <c r="B12" s="382"/>
      <c r="C12" s="382"/>
      <c r="D12" s="382"/>
      <c r="E12" s="382"/>
      <c r="F12" s="382"/>
      <c r="G12" s="382"/>
      <c r="H12" s="382"/>
      <c r="I12" s="382"/>
      <c r="J12" s="382"/>
      <c r="K12" s="382"/>
      <c r="L12" s="382"/>
      <c r="M12" s="383" t="s">
        <v>18</v>
      </c>
      <c r="N12" s="384">
        <f>SUM(N11:N11)</f>
        <v>7.7197276800000006E-2</v>
      </c>
      <c r="O12" s="357"/>
    </row>
    <row r="13" spans="1:17" x14ac:dyDescent="0.3">
      <c r="A13" s="385"/>
      <c r="B13" s="352"/>
      <c r="C13" s="352"/>
      <c r="D13" s="352"/>
      <c r="E13" s="352"/>
      <c r="F13" s="352"/>
      <c r="G13" s="352"/>
      <c r="H13" s="352"/>
      <c r="I13" s="352"/>
      <c r="J13" s="352"/>
      <c r="K13" s="352"/>
      <c r="L13" s="352"/>
      <c r="M13" s="352"/>
      <c r="N13" s="352"/>
      <c r="O13" s="357"/>
      <c r="Q13" s="135"/>
    </row>
    <row r="14" spans="1:17" x14ac:dyDescent="0.3">
      <c r="A14" s="386" t="s">
        <v>14</v>
      </c>
      <c r="B14" s="367" t="s">
        <v>31</v>
      </c>
      <c r="C14" s="367" t="s">
        <v>20</v>
      </c>
      <c r="D14" s="367" t="s">
        <v>21</v>
      </c>
      <c r="E14" s="367" t="s">
        <v>32</v>
      </c>
      <c r="F14" s="367" t="s">
        <v>17</v>
      </c>
      <c r="G14" s="367" t="s">
        <v>33</v>
      </c>
      <c r="H14" s="367" t="s">
        <v>34</v>
      </c>
      <c r="I14" s="367" t="s">
        <v>18</v>
      </c>
      <c r="J14" s="382"/>
      <c r="K14" s="382"/>
      <c r="L14" s="382"/>
      <c r="M14" s="382"/>
      <c r="N14" s="382"/>
      <c r="O14" s="357"/>
    </row>
    <row r="15" spans="1:17" x14ac:dyDescent="0.3">
      <c r="A15" s="342">
        <v>10</v>
      </c>
      <c r="B15" s="339" t="s">
        <v>272</v>
      </c>
      <c r="C15" s="412"/>
      <c r="D15" s="413">
        <v>0.4</v>
      </c>
      <c r="E15" s="342" t="s">
        <v>40</v>
      </c>
      <c r="F15" s="342">
        <v>1</v>
      </c>
      <c r="G15" s="342"/>
      <c r="H15" s="342"/>
      <c r="I15" s="414">
        <f>IF(H15="",D15*F15,D15*F15*H15)</f>
        <v>0.4</v>
      </c>
      <c r="J15" s="388"/>
      <c r="K15" s="388"/>
      <c r="L15" s="388"/>
      <c r="M15" s="388"/>
      <c r="N15" s="388"/>
      <c r="O15" s="389"/>
    </row>
    <row r="16" spans="1:17" x14ac:dyDescent="0.3">
      <c r="A16" s="381"/>
      <c r="B16" s="382"/>
      <c r="C16" s="382"/>
      <c r="D16" s="382"/>
      <c r="E16" s="382"/>
      <c r="F16" s="382"/>
      <c r="G16" s="382"/>
      <c r="H16" s="390" t="s">
        <v>18</v>
      </c>
      <c r="I16" s="384">
        <f>SUM(I15:I15)</f>
        <v>0.4</v>
      </c>
      <c r="J16" s="382"/>
      <c r="K16" s="382"/>
      <c r="L16" s="382"/>
      <c r="M16" s="382"/>
      <c r="N16" s="382"/>
      <c r="O16" s="357"/>
    </row>
    <row r="17" spans="1:15" ht="15" thickBot="1" x14ac:dyDescent="0.35">
      <c r="A17" s="391"/>
      <c r="B17" s="392"/>
      <c r="C17" s="392"/>
      <c r="D17" s="392"/>
      <c r="E17" s="392"/>
      <c r="F17" s="392"/>
      <c r="G17" s="392"/>
      <c r="H17" s="392"/>
      <c r="I17" s="392"/>
      <c r="J17" s="392"/>
      <c r="K17" s="392"/>
      <c r="L17" s="392"/>
      <c r="M17" s="392"/>
      <c r="N17" s="392"/>
      <c r="O17" s="393"/>
    </row>
  </sheetData>
  <hyperlinks>
    <hyperlink ref="B4" location="'SU A0100'!A1" display="'SU A0100'!A1"/>
    <hyperlink ref="E3" location="dSU_01007" display="Drawing"/>
    <hyperlink ref="G2" location="SU_A01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L58"/>
  <sheetViews>
    <sheetView workbookViewId="0">
      <selection activeCell="B1" sqref="B1"/>
    </sheetView>
  </sheetViews>
  <sheetFormatPr baseColWidth="10" defaultRowHeight="14.4" x14ac:dyDescent="0.3"/>
  <cols>
    <col min="1" max="1" width="20" customWidth="1"/>
  </cols>
  <sheetData>
    <row r="1" spans="1:2" x14ac:dyDescent="0.3">
      <c r="A1" t="s">
        <v>170</v>
      </c>
      <c r="B1" s="89" t="str">
        <f>SU_01007</f>
        <v>SU_01007</v>
      </c>
    </row>
    <row r="58" spans="12:12" x14ac:dyDescent="0.3">
      <c r="L58" s="86">
        <f>'SU 01002'!L52</f>
        <v>0</v>
      </c>
    </row>
  </sheetData>
  <hyperlinks>
    <hyperlink ref="B1" location="SU_01007" display="SU_01007"/>
    <hyperlink ref="L58" location="BR_01001" display="BR_01001"/>
  </hyperlinks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21.21875" customWidth="1"/>
    <col min="3" max="3" width="17.44140625" customWidth="1"/>
    <col min="4" max="4" width="9.5546875" customWidth="1"/>
    <col min="5" max="5" width="8" customWidth="1"/>
    <col min="7" max="7" width="16.33203125" customWidth="1"/>
    <col min="8" max="8" width="8.6640625" customWidth="1"/>
    <col min="13" max="13" width="12.66406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434" t="s">
        <v>37</v>
      </c>
      <c r="C2" s="417"/>
      <c r="D2" s="417"/>
      <c r="E2" s="417"/>
      <c r="F2" s="283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SU_01008_m+SU_01008_p</f>
        <v>1.3930602499999998</v>
      </c>
      <c r="O2" s="436"/>
    </row>
    <row r="3" spans="1:15" x14ac:dyDescent="0.3">
      <c r="A3" s="433" t="s">
        <v>3</v>
      </c>
      <c r="B3" s="434" t="str">
        <f>'SU A0100'!B3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437" t="str">
        <f>'SU A0100'!B4</f>
        <v>Upper Front A-arm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289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v>1.5188994999999998</v>
      </c>
      <c r="O5" s="436"/>
    </row>
    <row r="6" spans="1:15" x14ac:dyDescent="0.3">
      <c r="A6" s="433" t="s">
        <v>7</v>
      </c>
      <c r="B6" s="439" t="s">
        <v>285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5.3537000000000001E-2</v>
      </c>
      <c r="F11" s="445" t="s">
        <v>212</v>
      </c>
      <c r="G11" s="445"/>
      <c r="H11" s="446"/>
      <c r="I11" s="447" t="s">
        <v>280</v>
      </c>
      <c r="J11" s="448">
        <f>0.062*0.022</f>
        <v>1.364E-3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0.12045825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2.728E-3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2.7279999999999999E-2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0.14773825000000002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4.200000000000003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13.6</v>
      </c>
      <c r="G17" s="453"/>
      <c r="H17" s="456"/>
      <c r="I17" s="457">
        <f>IF(H17="",D17*F17,D17*F17*H17)</f>
        <v>0.13600000000000001</v>
      </c>
      <c r="J17" s="311"/>
      <c r="K17" s="417"/>
      <c r="L17" s="417"/>
      <c r="M17" s="417"/>
      <c r="N17" s="417"/>
      <c r="O17" s="436"/>
    </row>
    <row r="18" spans="1:15" ht="29.4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2.728E-3</v>
      </c>
      <c r="G20" s="453"/>
      <c r="H20" s="456"/>
      <c r="I20" s="464">
        <f>F20*D20</f>
        <v>1.4322E-2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1.2453219999999998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100_BOM" display="Back to BOM"/>
    <hyperlink ref="B4" location="'SU A0100'!A1" display="'SU A0100'!A1"/>
    <hyperlink ref="E3" location="dSU_01008" display="Drawing"/>
  </hyperlinks>
  <pageMargins left="0.7" right="0.7" top="0.75" bottom="0.75" header="0.3" footer="0.3"/>
  <pageSetup paperSize="9"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L5"/>
  <sheetViews>
    <sheetView workbookViewId="0">
      <selection activeCell="B1" sqref="B1"/>
    </sheetView>
  </sheetViews>
  <sheetFormatPr baseColWidth="10" defaultRowHeight="14.4" x14ac:dyDescent="0.3"/>
  <cols>
    <col min="1" max="1" width="13.33203125" customWidth="1"/>
  </cols>
  <sheetData>
    <row r="1" spans="1:12" x14ac:dyDescent="0.3">
      <c r="A1" t="s">
        <v>195</v>
      </c>
      <c r="B1" s="287" t="s">
        <v>285</v>
      </c>
    </row>
    <row r="5" spans="1:12" x14ac:dyDescent="0.3">
      <c r="L5" s="304"/>
    </row>
  </sheetData>
  <hyperlinks>
    <hyperlink ref="B1" location="SU_01008" display="SU_01008"/>
  </hyperlinks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3" sqref="N3"/>
    </sheetView>
  </sheetViews>
  <sheetFormatPr baseColWidth="10" defaultRowHeight="14.4" x14ac:dyDescent="0.3"/>
  <cols>
    <col min="3" max="3" width="18.3320312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317" t="s">
        <v>0</v>
      </c>
      <c r="B2" s="16" t="s">
        <v>37</v>
      </c>
      <c r="C2" s="275"/>
      <c r="D2" s="275"/>
      <c r="E2" s="275"/>
      <c r="F2" s="283" t="s">
        <v>126</v>
      </c>
      <c r="G2" s="275"/>
      <c r="H2" s="275"/>
      <c r="I2" s="275"/>
      <c r="J2" s="102" t="s">
        <v>1</v>
      </c>
      <c r="K2" s="279">
        <v>81</v>
      </c>
      <c r="L2" s="275"/>
      <c r="M2" s="303" t="s">
        <v>16</v>
      </c>
      <c r="N2" s="420">
        <f>SU_01009_m+SU_01009_p</f>
        <v>1.3590899374999998</v>
      </c>
      <c r="O2" s="276"/>
    </row>
    <row r="3" spans="1:15" x14ac:dyDescent="0.3">
      <c r="A3" s="317" t="s">
        <v>3</v>
      </c>
      <c r="B3" s="16" t="str">
        <f>'SU A0100'!B3</f>
        <v>Suspension &amp; Shocks</v>
      </c>
      <c r="C3" s="279"/>
      <c r="D3" s="350" t="s">
        <v>6</v>
      </c>
      <c r="E3" s="287" t="s">
        <v>86</v>
      </c>
      <c r="F3" s="275"/>
      <c r="G3" s="275"/>
      <c r="H3" s="275"/>
      <c r="I3" s="275"/>
      <c r="J3" s="275"/>
      <c r="K3" s="275"/>
      <c r="L3" s="275"/>
      <c r="M3" s="303" t="s">
        <v>4</v>
      </c>
      <c r="N3" s="280">
        <v>1</v>
      </c>
      <c r="O3" s="276"/>
    </row>
    <row r="4" spans="1:15" x14ac:dyDescent="0.3">
      <c r="A4" s="317" t="s">
        <v>5</v>
      </c>
      <c r="B4" s="88" t="str">
        <f>'SU A0100'!B4</f>
        <v>Upper Front A-arm</v>
      </c>
      <c r="C4" s="275"/>
      <c r="D4" s="350" t="s">
        <v>8</v>
      </c>
      <c r="E4" s="352"/>
      <c r="F4" s="275"/>
      <c r="G4" s="275"/>
      <c r="H4" s="275"/>
      <c r="I4" s="275"/>
      <c r="J4" s="102" t="s">
        <v>6</v>
      </c>
      <c r="K4" s="275"/>
      <c r="L4" s="275"/>
      <c r="M4" s="275"/>
      <c r="N4" s="275"/>
      <c r="O4" s="276"/>
    </row>
    <row r="5" spans="1:15" x14ac:dyDescent="0.3">
      <c r="A5" s="317" t="s">
        <v>15</v>
      </c>
      <c r="B5" s="72" t="s">
        <v>290</v>
      </c>
      <c r="C5" s="275"/>
      <c r="D5" s="350" t="s">
        <v>12</v>
      </c>
      <c r="E5" s="352"/>
      <c r="F5" s="275"/>
      <c r="G5" s="275"/>
      <c r="H5" s="275"/>
      <c r="I5" s="275"/>
      <c r="J5" s="102" t="s">
        <v>8</v>
      </c>
      <c r="K5" s="275"/>
      <c r="L5" s="275"/>
      <c r="M5" s="303" t="s">
        <v>9</v>
      </c>
      <c r="N5" s="277">
        <v>1.5188994999999998</v>
      </c>
      <c r="O5" s="276"/>
    </row>
    <row r="6" spans="1:15" x14ac:dyDescent="0.3">
      <c r="A6" s="317" t="s">
        <v>7</v>
      </c>
      <c r="B6" s="28" t="s">
        <v>286</v>
      </c>
      <c r="C6" s="275"/>
      <c r="D6" s="275"/>
      <c r="E6" s="275"/>
      <c r="F6" s="275"/>
      <c r="G6" s="275"/>
      <c r="H6" s="275"/>
      <c r="I6" s="275"/>
      <c r="J6" s="102" t="s">
        <v>12</v>
      </c>
      <c r="K6" s="275"/>
      <c r="L6" s="275"/>
      <c r="M6" s="275"/>
      <c r="N6" s="275"/>
      <c r="O6" s="276"/>
    </row>
    <row r="7" spans="1:15" x14ac:dyDescent="0.3">
      <c r="A7" s="317" t="s">
        <v>10</v>
      </c>
      <c r="B7" s="16" t="s">
        <v>11</v>
      </c>
      <c r="C7" s="275"/>
      <c r="D7" s="275"/>
      <c r="E7" s="275"/>
      <c r="F7" s="275"/>
      <c r="G7" s="275"/>
      <c r="H7" s="275"/>
      <c r="I7" s="275"/>
      <c r="J7" s="275"/>
      <c r="K7" s="275"/>
      <c r="L7" s="275"/>
      <c r="M7" s="275"/>
      <c r="N7" s="275"/>
      <c r="O7" s="276"/>
    </row>
    <row r="8" spans="1:15" x14ac:dyDescent="0.3">
      <c r="A8" s="317" t="s">
        <v>13</v>
      </c>
      <c r="B8" s="275" t="s">
        <v>277</v>
      </c>
      <c r="C8" s="275"/>
      <c r="D8" s="275"/>
      <c r="E8" s="275"/>
      <c r="F8" s="275"/>
      <c r="G8" s="275"/>
      <c r="H8" s="275"/>
      <c r="I8" s="275"/>
      <c r="J8" s="275"/>
      <c r="K8" s="275"/>
      <c r="L8" s="275"/>
      <c r="M8" s="275"/>
      <c r="N8" s="275"/>
      <c r="O8" s="276"/>
    </row>
    <row r="9" spans="1:15" x14ac:dyDescent="0.3">
      <c r="A9" s="291"/>
      <c r="B9" s="275"/>
      <c r="C9" s="275"/>
      <c r="D9" s="275"/>
      <c r="E9" s="275"/>
      <c r="F9" s="275"/>
      <c r="G9" s="275"/>
      <c r="H9" s="275"/>
      <c r="I9" s="275"/>
      <c r="J9" s="275"/>
      <c r="K9" s="275"/>
      <c r="L9" s="275"/>
      <c r="M9" s="275"/>
      <c r="N9" s="275"/>
      <c r="O9" s="276"/>
    </row>
    <row r="10" spans="1:15" x14ac:dyDescent="0.3">
      <c r="A10" s="318" t="s">
        <v>14</v>
      </c>
      <c r="B10" s="299" t="s">
        <v>19</v>
      </c>
      <c r="C10" s="299" t="s">
        <v>20</v>
      </c>
      <c r="D10" s="299" t="s">
        <v>21</v>
      </c>
      <c r="E10" s="299" t="s">
        <v>22</v>
      </c>
      <c r="F10" s="299" t="s">
        <v>23</v>
      </c>
      <c r="G10" s="299" t="s">
        <v>24</v>
      </c>
      <c r="H10" s="299" t="s">
        <v>25</v>
      </c>
      <c r="I10" s="299" t="s">
        <v>26</v>
      </c>
      <c r="J10" s="299" t="s">
        <v>27</v>
      </c>
      <c r="K10" s="299" t="s">
        <v>28</v>
      </c>
      <c r="L10" s="299" t="s">
        <v>29</v>
      </c>
      <c r="M10" s="299" t="s">
        <v>17</v>
      </c>
      <c r="N10" s="299" t="s">
        <v>18</v>
      </c>
      <c r="O10" s="276"/>
    </row>
    <row r="11" spans="1:15" ht="28.8" x14ac:dyDescent="0.3">
      <c r="A11" s="295">
        <v>10</v>
      </c>
      <c r="B11" s="319" t="s">
        <v>278</v>
      </c>
      <c r="C11" s="320" t="s">
        <v>279</v>
      </c>
      <c r="D11" s="305">
        <v>2.25</v>
      </c>
      <c r="E11" s="321">
        <f>J11*K11*L11</f>
        <v>5.2555749999999998E-2</v>
      </c>
      <c r="F11" s="322" t="s">
        <v>212</v>
      </c>
      <c r="G11" s="322"/>
      <c r="H11" s="323"/>
      <c r="I11" s="324" t="s">
        <v>280</v>
      </c>
      <c r="J11" s="325">
        <v>1.3389999999999999E-3</v>
      </c>
      <c r="K11" s="325">
        <v>5.0000000000000001E-3</v>
      </c>
      <c r="L11" s="326">
        <v>7850</v>
      </c>
      <c r="M11" s="326">
        <v>1</v>
      </c>
      <c r="N11" s="327">
        <f>IF(J11="",D11*M11,D11*J11*K11*L11*M11)</f>
        <v>0.1182504375</v>
      </c>
      <c r="O11" s="276"/>
    </row>
    <row r="12" spans="1:15" x14ac:dyDescent="0.3">
      <c r="A12" s="295">
        <v>20</v>
      </c>
      <c r="B12" s="319" t="s">
        <v>281</v>
      </c>
      <c r="C12" s="320"/>
      <c r="D12" s="328">
        <v>10</v>
      </c>
      <c r="E12" s="329">
        <f>2*J11</f>
        <v>2.6779999999999998E-3</v>
      </c>
      <c r="F12" s="330" t="s">
        <v>276</v>
      </c>
      <c r="G12" s="322"/>
      <c r="H12" s="323"/>
      <c r="I12" s="324"/>
      <c r="J12" s="325"/>
      <c r="K12" s="323"/>
      <c r="L12" s="326"/>
      <c r="M12" s="326"/>
      <c r="N12" s="327">
        <f>E12*D12</f>
        <v>2.6779999999999998E-2</v>
      </c>
      <c r="O12" s="276"/>
    </row>
    <row r="13" spans="1:15" x14ac:dyDescent="0.3">
      <c r="A13" s="292"/>
      <c r="B13" s="293"/>
      <c r="C13" s="293"/>
      <c r="D13" s="293"/>
      <c r="E13" s="293"/>
      <c r="F13" s="293"/>
      <c r="G13" s="293"/>
      <c r="H13" s="293"/>
      <c r="I13" s="293"/>
      <c r="J13" s="293"/>
      <c r="K13" s="293"/>
      <c r="L13" s="293"/>
      <c r="M13" s="301" t="s">
        <v>18</v>
      </c>
      <c r="N13" s="300">
        <f>SUM(N11:N12)</f>
        <v>0.1450304375</v>
      </c>
      <c r="O13" s="276"/>
    </row>
    <row r="14" spans="1:15" x14ac:dyDescent="0.3">
      <c r="A14" s="291"/>
      <c r="B14" s="275"/>
      <c r="C14" s="275"/>
      <c r="D14" s="275"/>
      <c r="E14" s="275"/>
      <c r="F14" s="275"/>
      <c r="G14" s="275"/>
      <c r="H14" s="275"/>
      <c r="I14" s="275"/>
      <c r="J14" s="275"/>
      <c r="K14" s="275"/>
      <c r="L14" s="275"/>
      <c r="M14" s="275"/>
      <c r="N14" s="275"/>
      <c r="O14" s="276"/>
    </row>
    <row r="15" spans="1:15" x14ac:dyDescent="0.3">
      <c r="A15" s="318" t="s">
        <v>14</v>
      </c>
      <c r="B15" s="299" t="s">
        <v>31</v>
      </c>
      <c r="C15" s="299" t="s">
        <v>20</v>
      </c>
      <c r="D15" s="299" t="s">
        <v>21</v>
      </c>
      <c r="E15" s="299" t="s">
        <v>32</v>
      </c>
      <c r="F15" s="299" t="s">
        <v>17</v>
      </c>
      <c r="G15" s="299" t="s">
        <v>33</v>
      </c>
      <c r="H15" s="299" t="s">
        <v>34</v>
      </c>
      <c r="I15" s="299" t="s">
        <v>18</v>
      </c>
      <c r="J15" s="293"/>
      <c r="K15" s="293"/>
      <c r="L15" s="293"/>
      <c r="M15" s="293"/>
      <c r="N15" s="293"/>
      <c r="O15" s="276"/>
    </row>
    <row r="16" spans="1:15" ht="41.4" customHeight="1" x14ac:dyDescent="0.3">
      <c r="A16" s="331">
        <v>10</v>
      </c>
      <c r="B16" s="310" t="s">
        <v>39</v>
      </c>
      <c r="C16" s="332" t="s">
        <v>282</v>
      </c>
      <c r="D16" s="333">
        <v>1.3</v>
      </c>
      <c r="E16" s="310" t="s">
        <v>32</v>
      </c>
      <c r="F16" s="311">
        <v>1</v>
      </c>
      <c r="G16" s="332" t="s">
        <v>294</v>
      </c>
      <c r="H16" s="334">
        <v>0.5</v>
      </c>
      <c r="I16" s="306">
        <f>H16*D16</f>
        <v>0.65</v>
      </c>
      <c r="J16" s="311"/>
      <c r="K16" s="275"/>
      <c r="L16" s="275"/>
      <c r="M16" s="275"/>
      <c r="N16" s="275"/>
      <c r="O16" s="276"/>
    </row>
    <row r="17" spans="1:15" x14ac:dyDescent="0.3">
      <c r="A17" s="335">
        <v>20</v>
      </c>
      <c r="B17" s="307" t="s">
        <v>283</v>
      </c>
      <c r="C17" s="308"/>
      <c r="D17" s="333">
        <v>0.01</v>
      </c>
      <c r="E17" s="307" t="s">
        <v>40</v>
      </c>
      <c r="F17" s="337">
        <v>13.8</v>
      </c>
      <c r="G17" s="310"/>
      <c r="H17" s="334"/>
      <c r="I17" s="306">
        <f>IF(H17="",D17*F17,D17*F17*H17)</f>
        <v>0.13800000000000001</v>
      </c>
      <c r="J17" s="311"/>
      <c r="K17" s="275"/>
      <c r="L17" s="275"/>
      <c r="M17" s="275"/>
      <c r="N17" s="275"/>
      <c r="O17" s="276"/>
    </row>
    <row r="18" spans="1:15" ht="43.2" x14ac:dyDescent="0.3">
      <c r="A18" s="331">
        <v>30</v>
      </c>
      <c r="B18" s="336" t="s">
        <v>39</v>
      </c>
      <c r="C18" s="309"/>
      <c r="D18" s="312">
        <v>0.65</v>
      </c>
      <c r="E18" s="309" t="s">
        <v>32</v>
      </c>
      <c r="F18" s="309">
        <v>1</v>
      </c>
      <c r="G18" s="332" t="s">
        <v>294</v>
      </c>
      <c r="H18" s="309">
        <v>0.5</v>
      </c>
      <c r="I18" s="313">
        <f t="shared" ref="I18:I19" si="0">IF(H18="",D18*F18,D18*F18*H18)</f>
        <v>0.32500000000000001</v>
      </c>
      <c r="J18" s="311"/>
      <c r="K18" s="275"/>
      <c r="L18" s="275"/>
      <c r="M18" s="275"/>
      <c r="N18" s="275"/>
      <c r="O18" s="276"/>
    </row>
    <row r="19" spans="1:15" x14ac:dyDescent="0.3">
      <c r="A19" s="335">
        <v>40</v>
      </c>
      <c r="B19" s="309" t="s">
        <v>159</v>
      </c>
      <c r="C19" s="309" t="s">
        <v>293</v>
      </c>
      <c r="D19" s="312">
        <v>2.9000000000000001E-2</v>
      </c>
      <c r="E19" s="309" t="s">
        <v>161</v>
      </c>
      <c r="F19" s="309">
        <v>1</v>
      </c>
      <c r="G19" s="309" t="s">
        <v>268</v>
      </c>
      <c r="H19" s="309">
        <v>3</v>
      </c>
      <c r="I19" s="313">
        <f t="shared" si="0"/>
        <v>8.7000000000000008E-2</v>
      </c>
      <c r="J19" s="314"/>
      <c r="K19" s="293"/>
      <c r="L19" s="293"/>
      <c r="M19" s="293"/>
      <c r="N19" s="293"/>
      <c r="O19" s="276"/>
    </row>
    <row r="20" spans="1:15" ht="28.8" x14ac:dyDescent="0.3">
      <c r="A20" s="331">
        <v>50</v>
      </c>
      <c r="B20" s="310" t="s">
        <v>233</v>
      </c>
      <c r="C20" s="308" t="s">
        <v>284</v>
      </c>
      <c r="D20" s="315">
        <v>5.25</v>
      </c>
      <c r="E20" s="310" t="s">
        <v>276</v>
      </c>
      <c r="F20" s="465">
        <f>2*J11</f>
        <v>2.6779999999999998E-3</v>
      </c>
      <c r="G20" s="310"/>
      <c r="H20" s="334"/>
      <c r="I20" s="313">
        <f>F20*D20</f>
        <v>1.4059499999999999E-2</v>
      </c>
      <c r="J20" s="316"/>
      <c r="K20" s="56"/>
      <c r="L20" s="56"/>
      <c r="M20" s="56"/>
      <c r="N20" s="56"/>
      <c r="O20" s="276"/>
    </row>
    <row r="21" spans="1:15" x14ac:dyDescent="0.3">
      <c r="A21" s="292"/>
      <c r="B21" s="293"/>
      <c r="C21" s="293"/>
      <c r="D21" s="293"/>
      <c r="E21" s="293"/>
      <c r="F21" s="293"/>
      <c r="G21" s="293"/>
      <c r="H21" s="301" t="s">
        <v>18</v>
      </c>
      <c r="I21" s="302">
        <f>SUM(I16:I20)</f>
        <v>1.2140594999999998</v>
      </c>
      <c r="J21" s="56"/>
      <c r="K21" s="56"/>
      <c r="L21" s="56"/>
      <c r="M21" s="56"/>
      <c r="N21" s="56"/>
      <c r="O21" s="276"/>
    </row>
    <row r="22" spans="1:15" ht="15" thickBot="1" x14ac:dyDescent="0.35">
      <c r="A22" s="296"/>
      <c r="B22" s="297"/>
      <c r="C22" s="297"/>
      <c r="D22" s="297"/>
      <c r="E22" s="297"/>
      <c r="F22" s="297"/>
      <c r="G22" s="297"/>
      <c r="H22" s="297"/>
      <c r="I22" s="297"/>
      <c r="J22" s="297"/>
      <c r="K22" s="297"/>
      <c r="L22" s="297"/>
      <c r="M22" s="297"/>
      <c r="N22" s="297"/>
      <c r="O22" s="298"/>
    </row>
  </sheetData>
  <hyperlinks>
    <hyperlink ref="B4" location="'SU A0100'!A1" display="'SU A0100'!A1"/>
    <hyperlink ref="F2" location="SU_A0100_BOM" display="Back to BOM"/>
    <hyperlink ref="E3" location="dSU_01009" display="Drawing"/>
  </hyperlinks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2.77734375" customWidth="1"/>
  </cols>
  <sheetData>
    <row r="1" spans="1:2" x14ac:dyDescent="0.3">
      <c r="A1" t="s">
        <v>195</v>
      </c>
      <c r="B1" s="287" t="s">
        <v>286</v>
      </c>
    </row>
  </sheetData>
  <hyperlinks>
    <hyperlink ref="B1" location="SU_01009" display="SU_01009"/>
  </hyperlink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O228"/>
  <sheetViews>
    <sheetView tabSelected="1" zoomScale="90" zoomScaleNormal="90" workbookViewId="0">
      <pane xSplit="3" ySplit="6" topLeftCell="E67" activePane="bottomRight" state="frozen"/>
      <selection activeCell="H10" sqref="H10"/>
      <selection pane="topRight" activeCell="H10" sqref="H10"/>
      <selection pane="bottomLeft" activeCell="H10" sqref="H10"/>
      <selection pane="bottomRight" activeCell="C73" sqref="C73"/>
    </sheetView>
  </sheetViews>
  <sheetFormatPr baseColWidth="10" defaultColWidth="9.109375" defaultRowHeight="13.2" x14ac:dyDescent="0.25"/>
  <cols>
    <col min="1" max="1" width="17.44140625" style="9" bestFit="1" customWidth="1"/>
    <col min="2" max="2" width="28.6640625" style="13" bestFit="1" customWidth="1"/>
    <col min="3" max="3" width="13.5546875" style="9" customWidth="1"/>
    <col min="4" max="4" width="10" style="9" bestFit="1" customWidth="1"/>
    <col min="5" max="5" width="23" style="9" customWidth="1"/>
    <col min="6" max="6" width="39.109375" style="42" customWidth="1"/>
    <col min="7" max="7" width="14" style="9" customWidth="1"/>
    <col min="8" max="8" width="11" style="9" bestFit="1" customWidth="1"/>
    <col min="9" max="9" width="10.44140625" style="6" customWidth="1"/>
    <col min="10" max="10" width="11.88671875" style="6" customWidth="1"/>
    <col min="11" max="13" width="10.44140625" style="6" customWidth="1"/>
    <col min="14" max="14" width="12.33203125" style="9" customWidth="1"/>
    <col min="15" max="15" width="11.109375" style="13" customWidth="1"/>
    <col min="16" max="16384" width="9.109375" style="13"/>
  </cols>
  <sheetData>
    <row r="1" spans="1:15" ht="15" thickBot="1" x14ac:dyDescent="0.35">
      <c r="A1" s="52" t="s">
        <v>0</v>
      </c>
      <c r="B1" s="94" t="s">
        <v>37</v>
      </c>
      <c r="D1" s="43"/>
      <c r="M1" s="55" t="s">
        <v>41</v>
      </c>
      <c r="N1" s="44"/>
      <c r="O1" s="54" t="e">
        <f>#REF!</f>
        <v>#REF!</v>
      </c>
    </row>
    <row r="2" spans="1:15" s="15" customFormat="1" ht="15" thickBot="1" x14ac:dyDescent="0.35">
      <c r="A2" s="50" t="s">
        <v>42</v>
      </c>
      <c r="B2" s="93" t="s">
        <v>125</v>
      </c>
      <c r="C2" s="14"/>
      <c r="F2" s="38"/>
    </row>
    <row r="3" spans="1:15" s="15" customFormat="1" ht="15.6" thickTop="1" thickBot="1" x14ac:dyDescent="0.35">
      <c r="A3" s="51" t="s">
        <v>43</v>
      </c>
      <c r="B3" s="53">
        <v>2018</v>
      </c>
      <c r="C3" s="14"/>
      <c r="F3" s="38"/>
    </row>
    <row r="4" spans="1:15" s="15" customFormat="1" ht="15.6" thickTop="1" thickBot="1" x14ac:dyDescent="0.35">
      <c r="A4" s="49" t="s">
        <v>1</v>
      </c>
      <c r="B4" s="92">
        <v>81</v>
      </c>
      <c r="C4" s="14"/>
      <c r="D4" s="43" t="s">
        <v>44</v>
      </c>
      <c r="F4" s="38"/>
    </row>
    <row r="5" spans="1:15" s="36" customFormat="1" ht="15" thickTop="1" x14ac:dyDescent="0.3">
      <c r="A5" s="35"/>
      <c r="B5" s="39"/>
      <c r="C5" s="37"/>
      <c r="F5" s="40"/>
    </row>
    <row r="6" spans="1:15" s="34" customFormat="1" ht="49.5" customHeight="1" x14ac:dyDescent="0.25">
      <c r="A6" s="33" t="s">
        <v>45</v>
      </c>
      <c r="B6" s="46" t="s">
        <v>46</v>
      </c>
      <c r="C6" s="46" t="s">
        <v>47</v>
      </c>
      <c r="D6" s="46" t="s">
        <v>48</v>
      </c>
      <c r="E6" s="46" t="s">
        <v>49</v>
      </c>
      <c r="F6" s="46" t="s">
        <v>50</v>
      </c>
      <c r="G6" s="46" t="s">
        <v>51</v>
      </c>
      <c r="H6" s="48" t="s">
        <v>52</v>
      </c>
      <c r="I6" s="46" t="s">
        <v>17</v>
      </c>
      <c r="J6" s="46" t="s">
        <v>53</v>
      </c>
      <c r="K6" s="46" t="s">
        <v>54</v>
      </c>
      <c r="L6" s="46" t="s">
        <v>55</v>
      </c>
      <c r="M6" s="46" t="s">
        <v>56</v>
      </c>
      <c r="N6" s="47" t="s">
        <v>57</v>
      </c>
      <c r="O6" s="46" t="s">
        <v>58</v>
      </c>
    </row>
    <row r="7" spans="1:15" ht="14.4" x14ac:dyDescent="0.3">
      <c r="A7" s="112"/>
      <c r="B7" s="113" t="s">
        <v>129</v>
      </c>
      <c r="C7" s="114" t="str">
        <f>SU_A0100</f>
        <v>SU A0100</v>
      </c>
      <c r="D7" s="114" t="s">
        <v>11</v>
      </c>
      <c r="E7" s="114"/>
      <c r="F7" s="144" t="str">
        <f>'SU A0100'!B4</f>
        <v>Upper Front A-arm</v>
      </c>
      <c r="G7" s="114"/>
      <c r="H7" s="115">
        <f t="shared" ref="H7:H14" si="0">SUM(J7:M7)</f>
        <v>38.908909427520669</v>
      </c>
      <c r="I7" s="151">
        <f>SU_A0100_q</f>
        <v>2</v>
      </c>
      <c r="J7" s="116">
        <f>SU_A0100_m</f>
        <v>20.759999999999998</v>
      </c>
      <c r="K7" s="116">
        <f>SU_A0100_p</f>
        <v>16.033700000000003</v>
      </c>
      <c r="L7" s="116">
        <f>SU_A0100_f</f>
        <v>0.78187609418733417</v>
      </c>
      <c r="M7" s="116">
        <f>SU_A0100_t</f>
        <v>1.3333333333333333</v>
      </c>
      <c r="N7" s="117">
        <f t="shared" ref="N7:N14" si="1">H7*I7</f>
        <v>77.817818855041338</v>
      </c>
      <c r="O7" s="118"/>
    </row>
    <row r="8" spans="1:15" ht="14.4" x14ac:dyDescent="0.3">
      <c r="A8" s="119"/>
      <c r="B8" s="119" t="s">
        <v>129</v>
      </c>
      <c r="C8" s="120" t="str">
        <f>SU_01001</f>
        <v>SU_01001</v>
      </c>
      <c r="D8" s="120" t="s">
        <v>11</v>
      </c>
      <c r="E8" s="120" t="str">
        <f>$F$7</f>
        <v>Upper Front A-arm</v>
      </c>
      <c r="F8" s="121" t="str">
        <f>'SU 01001'!B5</f>
        <v>Upper Front Bearing Support</v>
      </c>
      <c r="G8" s="120"/>
      <c r="H8" s="122">
        <f t="shared" si="0"/>
        <v>15.090551905600002</v>
      </c>
      <c r="I8" s="126">
        <f>SU_A0100_q*SU_01001_q</f>
        <v>2</v>
      </c>
      <c r="J8" s="123">
        <f>SU_01001_m</f>
        <v>2.6965519055999998</v>
      </c>
      <c r="K8" s="123">
        <f>SU_01001_p</f>
        <v>12.394000000000002</v>
      </c>
      <c r="L8" s="123">
        <v>0</v>
      </c>
      <c r="M8" s="123">
        <v>0</v>
      </c>
      <c r="N8" s="124">
        <f t="shared" si="1"/>
        <v>30.181103811200003</v>
      </c>
      <c r="O8" s="125"/>
    </row>
    <row r="9" spans="1:15" ht="14.4" x14ac:dyDescent="0.3">
      <c r="A9" s="119"/>
      <c r="B9" s="119" t="s">
        <v>129</v>
      </c>
      <c r="C9" s="120" t="str">
        <f>SU_01002</f>
        <v>SU_01002</v>
      </c>
      <c r="D9" s="120" t="s">
        <v>11</v>
      </c>
      <c r="E9" s="120" t="str">
        <f t="shared" ref="E9:E18" si="2">$F$7</f>
        <v>Upper Front A-arm</v>
      </c>
      <c r="F9" s="121" t="str">
        <f>'SU 01002'!B5</f>
        <v>Inner Bearing Support</v>
      </c>
      <c r="G9" s="120"/>
      <c r="H9" s="122">
        <f t="shared" si="0"/>
        <v>3.3353805440000004</v>
      </c>
      <c r="I9" s="126">
        <f>SU_A0100_q*SU_01002_q</f>
        <v>4</v>
      </c>
      <c r="J9" s="123">
        <f>SU_01002_m</f>
        <v>0.85838054400000008</v>
      </c>
      <c r="K9" s="123">
        <f>SU_01002_p</f>
        <v>2.4770000000000003</v>
      </c>
      <c r="L9" s="123">
        <v>0</v>
      </c>
      <c r="M9" s="123">
        <v>0</v>
      </c>
      <c r="N9" s="124">
        <f t="shared" si="1"/>
        <v>13.341522176000002</v>
      </c>
      <c r="O9" s="125"/>
    </row>
    <row r="10" spans="1:15" ht="14.4" x14ac:dyDescent="0.3">
      <c r="A10" s="119"/>
      <c r="B10" s="119" t="s">
        <v>129</v>
      </c>
      <c r="C10" s="120" t="str">
        <f>SU_01003</f>
        <v>SU_01003</v>
      </c>
      <c r="D10" s="120" t="s">
        <v>11</v>
      </c>
      <c r="E10" s="120" t="str">
        <f t="shared" si="2"/>
        <v>Upper Front A-arm</v>
      </c>
      <c r="F10" s="121" t="str">
        <f>'SU 01003'!B5</f>
        <v>Upper Front A-arm tube (Front)  Carbon Fiber Tube</v>
      </c>
      <c r="G10" s="120"/>
      <c r="H10" s="122">
        <f t="shared" si="0"/>
        <v>8.8765790399999975</v>
      </c>
      <c r="I10" s="126">
        <f>SU_A0100_q*SU_01003_q</f>
        <v>2</v>
      </c>
      <c r="J10" s="123">
        <f>SU_01003_m</f>
        <v>7.8902924799999985</v>
      </c>
      <c r="K10" s="123">
        <f>SU_01003_p</f>
        <v>0.98628655999999981</v>
      </c>
      <c r="L10" s="123">
        <v>0</v>
      </c>
      <c r="M10" s="123">
        <v>0</v>
      </c>
      <c r="N10" s="124">
        <f t="shared" si="1"/>
        <v>17.753158079999995</v>
      </c>
      <c r="O10" s="125"/>
    </row>
    <row r="11" spans="1:15" ht="14.4" x14ac:dyDescent="0.3">
      <c r="A11" s="119"/>
      <c r="B11" s="119" t="s">
        <v>129</v>
      </c>
      <c r="C11" s="120" t="str">
        <f>SU_01004</f>
        <v>SU_01004</v>
      </c>
      <c r="D11" s="120" t="s">
        <v>11</v>
      </c>
      <c r="E11" s="120" t="str">
        <f t="shared" si="2"/>
        <v>Upper Front A-arm</v>
      </c>
      <c r="F11" s="121" t="str">
        <f>'SU 01004'!B5</f>
        <v>Upper Front A-arm tube (Back)  Carbon Fiber Tube</v>
      </c>
      <c r="G11" s="120"/>
      <c r="H11" s="122">
        <f t="shared" si="0"/>
        <v>7.1887787999999988</v>
      </c>
      <c r="I11" s="126">
        <f>SU_A0100_q*SU_01004_q</f>
        <v>2</v>
      </c>
      <c r="J11" s="123">
        <f>SU_01004_m</f>
        <v>6.3900255999999986</v>
      </c>
      <c r="K11" s="123">
        <f>SU_01004_p</f>
        <v>0.79875319999999983</v>
      </c>
      <c r="L11" s="123">
        <v>0</v>
      </c>
      <c r="M11" s="123">
        <v>0</v>
      </c>
      <c r="N11" s="124">
        <f t="shared" si="1"/>
        <v>14.377557599999998</v>
      </c>
      <c r="O11" s="125"/>
    </row>
    <row r="12" spans="1:15" ht="14.4" x14ac:dyDescent="0.3">
      <c r="A12" s="119"/>
      <c r="B12" s="119" t="s">
        <v>129</v>
      </c>
      <c r="C12" s="120" t="str">
        <f>SU_01005</f>
        <v>SU_01005</v>
      </c>
      <c r="D12" s="120" t="s">
        <v>11</v>
      </c>
      <c r="E12" s="120" t="str">
        <f t="shared" si="2"/>
        <v>Upper Front A-arm</v>
      </c>
      <c r="F12" s="121" t="str">
        <f>'SU 01005'!B5</f>
        <v>Spacer 1</v>
      </c>
      <c r="G12" s="120"/>
      <c r="H12" s="122">
        <f t="shared" si="0"/>
        <v>1.0750440160000001</v>
      </c>
      <c r="I12" s="126">
        <f>SU_A0100_q*SU_01005_q</f>
        <v>4</v>
      </c>
      <c r="J12" s="123">
        <f>SU_01005_m</f>
        <v>3.9044016000000001E-2</v>
      </c>
      <c r="K12" s="123">
        <f>SU_01005_p</f>
        <v>1.036</v>
      </c>
      <c r="L12" s="123">
        <v>0</v>
      </c>
      <c r="M12" s="123">
        <v>0</v>
      </c>
      <c r="N12" s="124">
        <f t="shared" si="1"/>
        <v>4.3001760640000004</v>
      </c>
      <c r="O12" s="125"/>
    </row>
    <row r="13" spans="1:15" ht="14.4" x14ac:dyDescent="0.3">
      <c r="A13" s="119"/>
      <c r="B13" s="119" t="s">
        <v>129</v>
      </c>
      <c r="C13" s="120" t="str">
        <f>SU_01006</f>
        <v>SU_01006</v>
      </c>
      <c r="D13" s="120" t="s">
        <v>11</v>
      </c>
      <c r="E13" s="120" t="str">
        <f t="shared" si="2"/>
        <v>Upper Front A-arm</v>
      </c>
      <c r="F13" s="121" t="str">
        <f>'SU 01006'!B5</f>
        <v>Spacer 2</v>
      </c>
      <c r="G13" s="120"/>
      <c r="H13" s="122">
        <f t="shared" ref="H13" si="3">SUM(J13:M13)</f>
        <v>1.1551782399999999</v>
      </c>
      <c r="I13" s="126">
        <f>SU_A0100_q*SU_01006_q</f>
        <v>8</v>
      </c>
      <c r="J13" s="123">
        <f>SU_01006_m</f>
        <v>0.14197824000000003</v>
      </c>
      <c r="K13" s="123">
        <f>SU_01006_p</f>
        <v>1.0131999999999999</v>
      </c>
      <c r="L13" s="123">
        <v>0</v>
      </c>
      <c r="M13" s="123">
        <v>0</v>
      </c>
      <c r="N13" s="124">
        <f t="shared" ref="N13" si="4">H13*I13</f>
        <v>9.2414259199999993</v>
      </c>
      <c r="O13" s="125"/>
    </row>
    <row r="14" spans="1:15" ht="14.4" x14ac:dyDescent="0.3">
      <c r="A14" s="119"/>
      <c r="B14" s="119" t="s">
        <v>129</v>
      </c>
      <c r="C14" s="120" t="str">
        <f>SU_01007</f>
        <v>SU_01007</v>
      </c>
      <c r="D14" s="120" t="s">
        <v>11</v>
      </c>
      <c r="E14" s="120" t="str">
        <f t="shared" si="2"/>
        <v>Upper Front A-arm</v>
      </c>
      <c r="F14" s="121" t="str">
        <f>'SU 01007'!$B$5</f>
        <v>Outboard A-arm Insert</v>
      </c>
      <c r="G14" s="120"/>
      <c r="H14" s="122">
        <f t="shared" si="0"/>
        <v>0.47719727680000001</v>
      </c>
      <c r="I14" s="126">
        <f>SU_A0100_q*SU_01007_q</f>
        <v>4</v>
      </c>
      <c r="J14" s="123">
        <f>SU_01007_m</f>
        <v>7.7197276800000006E-2</v>
      </c>
      <c r="K14" s="123">
        <f>SU_01007_p</f>
        <v>0.4</v>
      </c>
      <c r="L14" s="123">
        <v>0</v>
      </c>
      <c r="M14" s="123">
        <v>0</v>
      </c>
      <c r="N14" s="124">
        <f t="shared" si="1"/>
        <v>1.9087891072000001</v>
      </c>
      <c r="O14" s="125"/>
    </row>
    <row r="15" spans="1:15" ht="14.4" x14ac:dyDescent="0.3">
      <c r="A15" s="119"/>
      <c r="B15" s="119" t="s">
        <v>129</v>
      </c>
      <c r="C15" s="120" t="str">
        <f>SU_01008</f>
        <v>SU_01008</v>
      </c>
      <c r="D15" s="120" t="s">
        <v>11</v>
      </c>
      <c r="E15" s="120" t="str">
        <f t="shared" si="2"/>
        <v>Upper Front A-arm</v>
      </c>
      <c r="F15" s="121" t="str">
        <f>'SU 01008'!$B$5</f>
        <v>Front up bracket</v>
      </c>
      <c r="G15" s="120"/>
      <c r="H15" s="122">
        <f t="shared" ref="H15:H18" si="5">SUM(J15:M15)</f>
        <v>1.3930602499999998</v>
      </c>
      <c r="I15" s="126">
        <f>SU_A0100_q*SU_01008_q</f>
        <v>2</v>
      </c>
      <c r="J15" s="123">
        <f>SU_01008_m</f>
        <v>0.14773825000000002</v>
      </c>
      <c r="K15" s="123">
        <f>SU_01008_p</f>
        <v>1.2453219999999998</v>
      </c>
      <c r="L15" s="123">
        <v>0</v>
      </c>
      <c r="M15" s="123">
        <v>0</v>
      </c>
      <c r="N15" s="124">
        <f t="shared" ref="N15:N18" si="6">H15*I15</f>
        <v>2.7861204999999996</v>
      </c>
      <c r="O15" s="125"/>
    </row>
    <row r="16" spans="1:15" ht="14.4" x14ac:dyDescent="0.3">
      <c r="A16" s="119"/>
      <c r="B16" s="119" t="s">
        <v>129</v>
      </c>
      <c r="C16" s="120" t="str">
        <f>SU_01009</f>
        <v>SU_01009</v>
      </c>
      <c r="D16" s="120" t="s">
        <v>11</v>
      </c>
      <c r="E16" s="120" t="str">
        <f t="shared" si="2"/>
        <v>Upper Front A-arm</v>
      </c>
      <c r="F16" s="121" t="str">
        <f>'SU 01009'!$B$5</f>
        <v>Front down bracket</v>
      </c>
      <c r="G16" s="120"/>
      <c r="H16" s="122">
        <f t="shared" si="5"/>
        <v>1.3590899374999998</v>
      </c>
      <c r="I16" s="126">
        <f>SU_A0100_q*SU_01009_q</f>
        <v>2</v>
      </c>
      <c r="J16" s="123">
        <f>SU_01009_m</f>
        <v>0.1450304375</v>
      </c>
      <c r="K16" s="123">
        <f>SU_01009_p</f>
        <v>1.2140594999999998</v>
      </c>
      <c r="L16" s="123">
        <v>0</v>
      </c>
      <c r="M16" s="123">
        <v>0</v>
      </c>
      <c r="N16" s="124">
        <f t="shared" si="6"/>
        <v>2.7181798749999997</v>
      </c>
      <c r="O16" s="125"/>
    </row>
    <row r="17" spans="1:15" ht="14.4" x14ac:dyDescent="0.3">
      <c r="A17" s="119"/>
      <c r="B17" s="119" t="s">
        <v>129</v>
      </c>
      <c r="C17" s="120" t="str">
        <f>SU_01010</f>
        <v>SU_01010</v>
      </c>
      <c r="D17" s="120" t="s">
        <v>11</v>
      </c>
      <c r="E17" s="120" t="str">
        <f t="shared" si="2"/>
        <v>Upper Front A-arm</v>
      </c>
      <c r="F17" s="121" t="str">
        <f>'SU 01010'!$B$5</f>
        <v>Rear up bracket</v>
      </c>
      <c r="G17" s="120"/>
      <c r="H17" s="122">
        <f t="shared" si="5"/>
        <v>1.3143274375</v>
      </c>
      <c r="I17" s="126">
        <f>SU_A0100_q*SU_01010_q</f>
        <v>2</v>
      </c>
      <c r="J17" s="123">
        <f>SU_01010_m</f>
        <v>0.1233679375</v>
      </c>
      <c r="K17" s="123">
        <f>SU_01010_p</f>
        <v>1.1909594999999999</v>
      </c>
      <c r="L17" s="123">
        <v>0</v>
      </c>
      <c r="M17" s="123">
        <v>0</v>
      </c>
      <c r="N17" s="124">
        <f t="shared" si="6"/>
        <v>2.6286548750000001</v>
      </c>
      <c r="O17" s="125"/>
    </row>
    <row r="18" spans="1:15" ht="14.4" x14ac:dyDescent="0.3">
      <c r="A18" s="119"/>
      <c r="B18" s="119" t="s">
        <v>129</v>
      </c>
      <c r="C18" s="120" t="str">
        <f>SU_01011</f>
        <v>SU_01011</v>
      </c>
      <c r="D18" s="120" t="s">
        <v>11</v>
      </c>
      <c r="E18" s="120" t="str">
        <f t="shared" si="2"/>
        <v>Upper Front A-arm</v>
      </c>
      <c r="F18" s="121" t="str">
        <f>'SU 01011'!$B$5</f>
        <v>Rear down bracket</v>
      </c>
      <c r="G18" s="120"/>
      <c r="H18" s="122">
        <f t="shared" si="5"/>
        <v>1.3278918750000002</v>
      </c>
      <c r="I18" s="126">
        <f>SU_A0100_q*SU_01011_q</f>
        <v>2</v>
      </c>
      <c r="J18" s="123">
        <f>SU_01011_m</f>
        <v>0.13755687500000002</v>
      </c>
      <c r="K18" s="123">
        <f>SU_01011_p</f>
        <v>1.1903350000000001</v>
      </c>
      <c r="L18" s="123">
        <v>0</v>
      </c>
      <c r="M18" s="123">
        <v>0</v>
      </c>
      <c r="N18" s="124">
        <f t="shared" si="6"/>
        <v>2.6557837500000003</v>
      </c>
      <c r="O18" s="125"/>
    </row>
    <row r="19" spans="1:15" ht="14.4" x14ac:dyDescent="0.3">
      <c r="A19" s="112"/>
      <c r="B19" s="113" t="s">
        <v>129</v>
      </c>
      <c r="C19" s="114" t="str">
        <f>SU_A0200</f>
        <v>SU A0200</v>
      </c>
      <c r="D19" s="114" t="s">
        <v>11</v>
      </c>
      <c r="E19" s="114"/>
      <c r="F19" s="144" t="str">
        <f>'SU A0200'!B4</f>
        <v>Lower Front A-arm</v>
      </c>
      <c r="G19" s="114"/>
      <c r="H19" s="115">
        <f t="shared" ref="H19:H26" si="7">SUM(J19:M19)</f>
        <v>38.908909427520669</v>
      </c>
      <c r="I19" s="151">
        <f>SU_A0200_q</f>
        <v>2</v>
      </c>
      <c r="J19" s="116">
        <f>SU_A0200_m</f>
        <v>20.759999999999998</v>
      </c>
      <c r="K19" s="116">
        <f>SU_A0200_p</f>
        <v>16.033700000000003</v>
      </c>
      <c r="L19" s="116">
        <f>SU_A0200_f</f>
        <v>0.78187609418733417</v>
      </c>
      <c r="M19" s="116">
        <f>SU_A0200_t</f>
        <v>1.3333333333333333</v>
      </c>
      <c r="N19" s="117">
        <f t="shared" ref="N19:N26" si="8">H19*I19</f>
        <v>77.817818855041338</v>
      </c>
      <c r="O19" s="118"/>
    </row>
    <row r="20" spans="1:15" ht="14.4" x14ac:dyDescent="0.3">
      <c r="A20" s="119"/>
      <c r="B20" s="119" t="s">
        <v>129</v>
      </c>
      <c r="C20" s="120" t="str">
        <f>SU_02001</f>
        <v>SU 02001</v>
      </c>
      <c r="D20" s="120" t="s">
        <v>11</v>
      </c>
      <c r="E20" s="120" t="str">
        <f>$F$19</f>
        <v>Lower Front A-arm</v>
      </c>
      <c r="F20" s="121" t="str">
        <f>'SU 02001'!B5</f>
        <v>Lower Front Bearing Support</v>
      </c>
      <c r="G20" s="120"/>
      <c r="H20" s="122">
        <f t="shared" si="7"/>
        <v>9.1140000000000008</v>
      </c>
      <c r="I20" s="126">
        <f>SU_A0200_q*SU_02001_q</f>
        <v>2</v>
      </c>
      <c r="J20" s="123">
        <f>SU_02001_m</f>
        <v>4.2</v>
      </c>
      <c r="K20" s="123">
        <f>SU_02001_p</f>
        <v>4.9140000000000006</v>
      </c>
      <c r="L20" s="123">
        <v>0</v>
      </c>
      <c r="M20" s="123">
        <v>0</v>
      </c>
      <c r="N20" s="124">
        <f t="shared" si="8"/>
        <v>18.228000000000002</v>
      </c>
      <c r="O20" s="125"/>
    </row>
    <row r="21" spans="1:15" ht="14.4" x14ac:dyDescent="0.3">
      <c r="A21" s="119"/>
      <c r="B21" s="119" t="s">
        <v>129</v>
      </c>
      <c r="C21" s="120" t="str">
        <f>SU_02002</f>
        <v>SU 02002</v>
      </c>
      <c r="D21" s="120" t="s">
        <v>11</v>
      </c>
      <c r="E21" s="120" t="str">
        <f t="shared" ref="E21:E30" si="9">$F$19</f>
        <v>Lower Front A-arm</v>
      </c>
      <c r="F21" s="121" t="str">
        <f>'SU 02002'!B5</f>
        <v>Inner Bearing Support</v>
      </c>
      <c r="G21" s="120"/>
      <c r="H21" s="122">
        <f t="shared" si="7"/>
        <v>3.3353805440000004</v>
      </c>
      <c r="I21" s="126">
        <f>SU_A0200_q*SU_02002_q</f>
        <v>4</v>
      </c>
      <c r="J21" s="123">
        <f>SU_02002_m</f>
        <v>0.85838054400000008</v>
      </c>
      <c r="K21" s="123">
        <f>SU_02002_p</f>
        <v>2.4770000000000003</v>
      </c>
      <c r="L21" s="123">
        <v>0</v>
      </c>
      <c r="M21" s="123">
        <v>0</v>
      </c>
      <c r="N21" s="124">
        <f t="shared" si="8"/>
        <v>13.341522176000002</v>
      </c>
      <c r="O21" s="125"/>
    </row>
    <row r="22" spans="1:15" ht="14.4" x14ac:dyDescent="0.3">
      <c r="A22" s="119"/>
      <c r="B22" s="119" t="s">
        <v>129</v>
      </c>
      <c r="C22" s="120" t="str">
        <f>SU_02003</f>
        <v>SU_02003</v>
      </c>
      <c r="D22" s="120" t="s">
        <v>11</v>
      </c>
      <c r="E22" s="120" t="str">
        <f t="shared" si="9"/>
        <v>Lower Front A-arm</v>
      </c>
      <c r="F22" s="121" t="str">
        <f>'SU 02003'!B5</f>
        <v>Lower Front A-arm tube (Front)  Carbon Fiber Tube</v>
      </c>
      <c r="G22" s="120"/>
      <c r="H22" s="122">
        <f t="shared" si="7"/>
        <v>11.220746039999998</v>
      </c>
      <c r="I22" s="126">
        <f>SU_A0200_q*SU_02003_q</f>
        <v>2</v>
      </c>
      <c r="J22" s="123">
        <f>SU_02003_m</f>
        <v>9.9739964799999985</v>
      </c>
      <c r="K22" s="123">
        <f>SU_02003_p</f>
        <v>1.2467495599999998</v>
      </c>
      <c r="L22" s="123">
        <v>0</v>
      </c>
      <c r="M22" s="123">
        <v>0</v>
      </c>
      <c r="N22" s="124">
        <f t="shared" si="8"/>
        <v>22.441492079999996</v>
      </c>
      <c r="O22" s="125"/>
    </row>
    <row r="23" spans="1:15" ht="14.4" x14ac:dyDescent="0.3">
      <c r="A23" s="119"/>
      <c r="B23" s="119" t="s">
        <v>129</v>
      </c>
      <c r="C23" s="120" t="str">
        <f>SU_02004</f>
        <v>SU_02004</v>
      </c>
      <c r="D23" s="120" t="s">
        <v>11</v>
      </c>
      <c r="E23" s="120" t="str">
        <f t="shared" si="9"/>
        <v>Lower Front A-arm</v>
      </c>
      <c r="F23" s="121" t="str">
        <f>'SU 02004'!B5</f>
        <v>Lower Front A-arm tube (Back)  Carbon Fiber Tube</v>
      </c>
      <c r="G23" s="120"/>
      <c r="H23" s="122">
        <f t="shared" si="7"/>
        <v>10.001779199999998</v>
      </c>
      <c r="I23" s="126">
        <f>SU_A0200_q*SU_02004_q</f>
        <v>2</v>
      </c>
      <c r="J23" s="123">
        <f>SU_02004_m</f>
        <v>8.8904703999999981</v>
      </c>
      <c r="K23" s="123">
        <f>SU_02004_p</f>
        <v>1.1113087999999998</v>
      </c>
      <c r="L23" s="123">
        <v>0</v>
      </c>
      <c r="M23" s="123">
        <v>0</v>
      </c>
      <c r="N23" s="124">
        <f t="shared" si="8"/>
        <v>20.003558399999996</v>
      </c>
      <c r="O23" s="125"/>
    </row>
    <row r="24" spans="1:15" ht="14.4" x14ac:dyDescent="0.3">
      <c r="A24" s="119"/>
      <c r="B24" s="119" t="s">
        <v>129</v>
      </c>
      <c r="C24" s="120" t="str">
        <f>SU_02005</f>
        <v>SU_02005</v>
      </c>
      <c r="D24" s="120" t="s">
        <v>11</v>
      </c>
      <c r="E24" s="120" t="str">
        <f t="shared" si="9"/>
        <v>Lower Front A-arm</v>
      </c>
      <c r="F24" s="121" t="str">
        <f>'SU 02005'!B5</f>
        <v>Spacer 1</v>
      </c>
      <c r="G24" s="120"/>
      <c r="H24" s="122">
        <f t="shared" si="7"/>
        <v>1.0541703760000001</v>
      </c>
      <c r="I24" s="126">
        <f>SU_A0200_q*SU_02005_q</f>
        <v>4</v>
      </c>
      <c r="J24" s="123">
        <f>SU_02005_m</f>
        <v>3.0170376000000002E-2</v>
      </c>
      <c r="K24" s="123">
        <f>SU_02005_p</f>
        <v>1.024</v>
      </c>
      <c r="L24" s="123">
        <v>0</v>
      </c>
      <c r="M24" s="123">
        <v>0</v>
      </c>
      <c r="N24" s="124">
        <f t="shared" si="8"/>
        <v>4.2166815040000003</v>
      </c>
      <c r="O24" s="125"/>
    </row>
    <row r="25" spans="1:15" ht="14.4" x14ac:dyDescent="0.3">
      <c r="A25" s="119"/>
      <c r="B25" s="119" t="s">
        <v>129</v>
      </c>
      <c r="C25" s="120" t="str">
        <f>SU_02006</f>
        <v>SU_02006</v>
      </c>
      <c r="D25" s="120" t="s">
        <v>11</v>
      </c>
      <c r="E25" s="120" t="str">
        <f t="shared" si="9"/>
        <v>Lower Front A-arm</v>
      </c>
      <c r="F25" s="121" t="str">
        <f>'SU 02006'!B5</f>
        <v>Spacer 2</v>
      </c>
      <c r="G25" s="120"/>
      <c r="H25" s="122">
        <f t="shared" ref="H25" si="10">SUM(J25:M25)</f>
        <v>1.1551782399999999</v>
      </c>
      <c r="I25" s="126">
        <f>SU_A0200_q*SU_02006_q</f>
        <v>8</v>
      </c>
      <c r="J25" s="123">
        <f>SU_02006_m</f>
        <v>0.14197824000000003</v>
      </c>
      <c r="K25" s="123">
        <f>SU_02006_p</f>
        <v>1.0131999999999999</v>
      </c>
      <c r="L25" s="123">
        <v>0</v>
      </c>
      <c r="M25" s="123">
        <v>0</v>
      </c>
      <c r="N25" s="124">
        <f t="shared" ref="N25" si="11">H25*I25</f>
        <v>9.2414259199999993</v>
      </c>
      <c r="O25" s="125"/>
    </row>
    <row r="26" spans="1:15" ht="14.4" x14ac:dyDescent="0.3">
      <c r="A26" s="119"/>
      <c r="B26" s="119" t="s">
        <v>129</v>
      </c>
      <c r="C26" s="120" t="str">
        <f>SU_02007</f>
        <v>SU_02007</v>
      </c>
      <c r="D26" s="120" t="s">
        <v>11</v>
      </c>
      <c r="E26" s="120" t="str">
        <f t="shared" si="9"/>
        <v>Lower Front A-arm</v>
      </c>
      <c r="F26" s="121" t="str">
        <f>'SU 02007'!B5</f>
        <v>Outboard A-arm Insert</v>
      </c>
      <c r="G26" s="120"/>
      <c r="H26" s="122">
        <f t="shared" si="7"/>
        <v>0.47719727680000001</v>
      </c>
      <c r="I26" s="126">
        <f>SU_A0200_q*SU_02007_q</f>
        <v>4</v>
      </c>
      <c r="J26" s="123">
        <f>SU_02007_m</f>
        <v>7.7197276800000006E-2</v>
      </c>
      <c r="K26" s="123">
        <f>SU_02007_p</f>
        <v>0.4</v>
      </c>
      <c r="L26" s="123">
        <v>0</v>
      </c>
      <c r="M26" s="123">
        <v>0</v>
      </c>
      <c r="N26" s="124">
        <f t="shared" si="8"/>
        <v>1.9087891072000001</v>
      </c>
      <c r="O26" s="125"/>
    </row>
    <row r="27" spans="1:15" ht="14.4" x14ac:dyDescent="0.3">
      <c r="A27" s="476"/>
      <c r="B27" s="119" t="s">
        <v>129</v>
      </c>
      <c r="C27" s="120" t="str">
        <f>SU_02008</f>
        <v>SU_02008</v>
      </c>
      <c r="D27" s="120" t="s">
        <v>11</v>
      </c>
      <c r="E27" s="120" t="str">
        <f t="shared" si="9"/>
        <v>Lower Front A-arm</v>
      </c>
      <c r="F27" s="121" t="str">
        <f>'SU 02008'!B5</f>
        <v>Front up bracket</v>
      </c>
      <c r="G27" s="477"/>
      <c r="H27" s="122">
        <f t="shared" ref="H27:H30" si="12">SUM(J27:M27)</f>
        <v>1.3868720000000001</v>
      </c>
      <c r="I27" s="126">
        <f>SU_A0200_q*SU_02008_q</f>
        <v>2</v>
      </c>
      <c r="J27" s="123">
        <f>SU_02008_m</f>
        <v>0.12477600000000001</v>
      </c>
      <c r="K27" s="123">
        <f>SU_02008_p</f>
        <v>1.2620960000000001</v>
      </c>
      <c r="L27" s="123">
        <v>0</v>
      </c>
      <c r="M27" s="123">
        <v>0</v>
      </c>
      <c r="N27" s="124">
        <f t="shared" ref="N27:N30" si="13">H27*I27</f>
        <v>2.7737440000000002</v>
      </c>
      <c r="O27" s="479"/>
    </row>
    <row r="28" spans="1:15" ht="14.4" x14ac:dyDescent="0.3">
      <c r="A28" s="476"/>
      <c r="B28" s="119" t="s">
        <v>129</v>
      </c>
      <c r="C28" s="120" t="str">
        <f>SU_02009</f>
        <v>SU_02009</v>
      </c>
      <c r="D28" s="120" t="s">
        <v>11</v>
      </c>
      <c r="E28" s="120" t="str">
        <f t="shared" si="9"/>
        <v>Lower Front A-arm</v>
      </c>
      <c r="F28" s="478" t="str">
        <f>'SU 02009'!B5</f>
        <v>Front down bracket</v>
      </c>
      <c r="G28" s="477"/>
      <c r="H28" s="122">
        <f t="shared" si="12"/>
        <v>1.4357435000000001</v>
      </c>
      <c r="I28" s="126">
        <f>SU_A0200_q*SU_02009_q</f>
        <v>2</v>
      </c>
      <c r="J28" s="123">
        <f>SU_02009_m</f>
        <v>0.1620355</v>
      </c>
      <c r="K28" s="123">
        <f>SU_02009_p</f>
        <v>1.2737080000000001</v>
      </c>
      <c r="L28" s="123">
        <v>0</v>
      </c>
      <c r="M28" s="123">
        <v>0</v>
      </c>
      <c r="N28" s="124">
        <f t="shared" si="13"/>
        <v>2.8714870000000001</v>
      </c>
      <c r="O28" s="479"/>
    </row>
    <row r="29" spans="1:15" ht="14.4" x14ac:dyDescent="0.3">
      <c r="A29" s="476"/>
      <c r="B29" s="119" t="s">
        <v>129</v>
      </c>
      <c r="C29" s="120" t="str">
        <f>SU_02010</f>
        <v>SU_02010</v>
      </c>
      <c r="D29" s="120" t="s">
        <v>11</v>
      </c>
      <c r="E29" s="120" t="str">
        <f t="shared" si="9"/>
        <v>Lower Front A-arm</v>
      </c>
      <c r="F29" s="478" t="str">
        <f>'SU 02010'!B5</f>
        <v>Rear Up bracket</v>
      </c>
      <c r="G29" s="477"/>
      <c r="H29" s="122">
        <f t="shared" si="12"/>
        <v>1.3315549999999998</v>
      </c>
      <c r="I29" s="126">
        <f>SU_A0200_q*SU_02010_q</f>
        <v>2</v>
      </c>
      <c r="J29" s="123">
        <f>SU_02010_m</f>
        <v>9.5315000000000011E-2</v>
      </c>
      <c r="K29" s="123">
        <f>SU_02010_p</f>
        <v>1.2362399999999998</v>
      </c>
      <c r="L29" s="123">
        <v>0</v>
      </c>
      <c r="M29" s="123">
        <v>0</v>
      </c>
      <c r="N29" s="124">
        <f t="shared" si="13"/>
        <v>2.6631099999999996</v>
      </c>
      <c r="O29" s="479"/>
    </row>
    <row r="30" spans="1:15" ht="14.4" x14ac:dyDescent="0.3">
      <c r="A30" s="476"/>
      <c r="B30" s="119" t="s">
        <v>129</v>
      </c>
      <c r="C30" s="120" t="str">
        <f>SU_02011</f>
        <v>SU_02011</v>
      </c>
      <c r="D30" s="120" t="s">
        <v>11</v>
      </c>
      <c r="E30" s="120" t="str">
        <f t="shared" si="9"/>
        <v>Lower Front A-arm</v>
      </c>
      <c r="F30" s="478" t="str">
        <f>'SU 02011'!B5</f>
        <v>Rear down bracket</v>
      </c>
      <c r="G30" s="477"/>
      <c r="H30" s="122">
        <f t="shared" si="12"/>
        <v>1.41506025</v>
      </c>
      <c r="I30" s="126">
        <f>SU_A0200_q*SU_02011_q</f>
        <v>2</v>
      </c>
      <c r="J30" s="123">
        <f>SU_02011_m</f>
        <v>0.14773825000000002</v>
      </c>
      <c r="K30" s="123">
        <f>SU_02011_p</f>
        <v>1.2673220000000001</v>
      </c>
      <c r="L30" s="123">
        <v>0</v>
      </c>
      <c r="M30" s="123">
        <v>0</v>
      </c>
      <c r="N30" s="124">
        <f t="shared" si="13"/>
        <v>2.8301205</v>
      </c>
      <c r="O30" s="479"/>
    </row>
    <row r="31" spans="1:15" ht="14.4" x14ac:dyDescent="0.3">
      <c r="A31" s="112"/>
      <c r="B31" s="113" t="s">
        <v>129</v>
      </c>
      <c r="C31" s="114" t="str">
        <f>SU_A0300</f>
        <v>SU A0300</v>
      </c>
      <c r="D31" s="114" t="s">
        <v>11</v>
      </c>
      <c r="E31" s="114"/>
      <c r="F31" s="144" t="str">
        <f>'SU A0300'!B4</f>
        <v>Upper Back A-arm</v>
      </c>
      <c r="G31" s="114"/>
      <c r="H31" s="115">
        <f t="shared" ref="H31:H38" si="14">SUM(J31:M31)</f>
        <v>38.908909427520669</v>
      </c>
      <c r="I31" s="151">
        <f>SU_A0300_q</f>
        <v>2</v>
      </c>
      <c r="J31" s="116">
        <f>SU_A0300_m</f>
        <v>20.759999999999998</v>
      </c>
      <c r="K31" s="116">
        <f>SU_A0300_p</f>
        <v>16.033700000000003</v>
      </c>
      <c r="L31" s="116">
        <f>SU_A0300_f</f>
        <v>0.78187609418733417</v>
      </c>
      <c r="M31" s="116">
        <f>SU_A0300_t</f>
        <v>1.3333333333333333</v>
      </c>
      <c r="N31" s="117">
        <f t="shared" ref="N31:N38" si="15">H31*I31</f>
        <v>77.817818855041338</v>
      </c>
      <c r="O31" s="118"/>
    </row>
    <row r="32" spans="1:15" ht="14.4" x14ac:dyDescent="0.3">
      <c r="A32" s="119"/>
      <c r="B32" s="119" t="s">
        <v>129</v>
      </c>
      <c r="C32" s="120" t="str">
        <f>SU_03001</f>
        <v>SU 03001</v>
      </c>
      <c r="D32" s="120" t="s">
        <v>11</v>
      </c>
      <c r="E32" s="120" t="str">
        <f>$F$31</f>
        <v>Upper Back A-arm</v>
      </c>
      <c r="F32" s="121" t="str">
        <f>'SU 03001'!$B$5</f>
        <v>Upper Back Bearing Support</v>
      </c>
      <c r="G32" s="120"/>
      <c r="H32" s="122">
        <f t="shared" si="14"/>
        <v>16.4854905344</v>
      </c>
      <c r="I32" s="126">
        <f>SU_A0300_q*SU_03001_q</f>
        <v>2</v>
      </c>
      <c r="J32" s="123">
        <f>SU_03001_m</f>
        <v>2.4914905344</v>
      </c>
      <c r="K32" s="123">
        <f>SU_03001_p</f>
        <v>13.994000000000002</v>
      </c>
      <c r="L32" s="123">
        <v>0</v>
      </c>
      <c r="M32" s="123">
        <v>0</v>
      </c>
      <c r="N32" s="124">
        <f t="shared" si="15"/>
        <v>32.9709810688</v>
      </c>
      <c r="O32" s="125"/>
    </row>
    <row r="33" spans="1:15" ht="14.4" x14ac:dyDescent="0.3">
      <c r="A33" s="119"/>
      <c r="B33" s="119" t="s">
        <v>129</v>
      </c>
      <c r="C33" s="120" t="str">
        <f>SU_03002</f>
        <v>SU 03002</v>
      </c>
      <c r="D33" s="120" t="s">
        <v>11</v>
      </c>
      <c r="E33" s="120" t="str">
        <f t="shared" ref="E33:E42" si="16">$F$31</f>
        <v>Upper Back A-arm</v>
      </c>
      <c r="F33" s="121" t="str">
        <f>'SU 03002'!$B$5</f>
        <v>Inner Bearing Support</v>
      </c>
      <c r="G33" s="120"/>
      <c r="H33" s="122">
        <f t="shared" si="14"/>
        <v>3.3353805440000004</v>
      </c>
      <c r="I33" s="126">
        <f>SU_A0300_q*SU_03002_q</f>
        <v>4</v>
      </c>
      <c r="J33" s="123">
        <f>SU_03002_m</f>
        <v>0.85838054400000008</v>
      </c>
      <c r="K33" s="123">
        <f>SU_03002_p</f>
        <v>2.4770000000000003</v>
      </c>
      <c r="L33" s="123">
        <v>0</v>
      </c>
      <c r="M33" s="123">
        <v>0</v>
      </c>
      <c r="N33" s="124">
        <f t="shared" si="15"/>
        <v>13.341522176000002</v>
      </c>
      <c r="O33" s="125"/>
    </row>
    <row r="34" spans="1:15" ht="14.4" x14ac:dyDescent="0.3">
      <c r="A34" s="119"/>
      <c r="B34" s="119" t="s">
        <v>129</v>
      </c>
      <c r="C34" s="120" t="str">
        <f>SU_03003</f>
        <v>SU 03003</v>
      </c>
      <c r="D34" s="120" t="s">
        <v>11</v>
      </c>
      <c r="E34" s="120" t="str">
        <f t="shared" si="16"/>
        <v>Upper Back A-arm</v>
      </c>
      <c r="F34" s="121" t="str">
        <f>'SU 03003'!$B$5</f>
        <v>Upper Back A-arm tube (Front)  Carbon Fiber Tube</v>
      </c>
      <c r="G34" s="120"/>
      <c r="H34" s="122">
        <f t="shared" si="14"/>
        <v>10.876934879999999</v>
      </c>
      <c r="I34" s="126">
        <f>SU_A0300_q*SU_03003_q</f>
        <v>2</v>
      </c>
      <c r="J34" s="123">
        <f>SU_03003_m</f>
        <v>9.6683865599999983</v>
      </c>
      <c r="K34" s="123">
        <f>SU_03003_p</f>
        <v>1.2085483199999998</v>
      </c>
      <c r="L34" s="123">
        <v>0</v>
      </c>
      <c r="M34" s="123">
        <v>0</v>
      </c>
      <c r="N34" s="124">
        <f t="shared" si="15"/>
        <v>21.753869759999997</v>
      </c>
      <c r="O34" s="125"/>
    </row>
    <row r="35" spans="1:15" ht="14.4" x14ac:dyDescent="0.3">
      <c r="A35" s="119"/>
      <c r="B35" s="119" t="s">
        <v>129</v>
      </c>
      <c r="C35" s="120" t="str">
        <f>SU_03004</f>
        <v>SU 03004</v>
      </c>
      <c r="D35" s="120" t="s">
        <v>11</v>
      </c>
      <c r="E35" s="120" t="str">
        <f t="shared" si="16"/>
        <v>Upper Back A-arm</v>
      </c>
      <c r="F35" s="121" t="str">
        <f>'SU 03004'!$B$5</f>
        <v>Upper Back A-arm tube (Back)  Carbon Fiber Tube</v>
      </c>
      <c r="G35" s="120"/>
      <c r="H35" s="122">
        <f t="shared" si="14"/>
        <v>4.3445228399999989</v>
      </c>
      <c r="I35" s="126">
        <f>SU_A0300_q*SU_03004_q</f>
        <v>2</v>
      </c>
      <c r="J35" s="123">
        <f>SU_03004_m</f>
        <v>3.8617980799999994</v>
      </c>
      <c r="K35" s="123">
        <f>SU_03004_p</f>
        <v>0.48272475999999992</v>
      </c>
      <c r="L35" s="123">
        <v>0</v>
      </c>
      <c r="M35" s="123">
        <v>0</v>
      </c>
      <c r="N35" s="124">
        <f t="shared" si="15"/>
        <v>8.6890456799999978</v>
      </c>
      <c r="O35" s="125"/>
    </row>
    <row r="36" spans="1:15" ht="14.4" x14ac:dyDescent="0.3">
      <c r="A36" s="119"/>
      <c r="B36" s="119" t="s">
        <v>129</v>
      </c>
      <c r="C36" s="120" t="str">
        <f>SU_03005</f>
        <v>SU 03005</v>
      </c>
      <c r="D36" s="120" t="s">
        <v>11</v>
      </c>
      <c r="E36" s="120" t="str">
        <f t="shared" si="16"/>
        <v>Upper Back A-arm</v>
      </c>
      <c r="F36" s="121" t="str">
        <f>'SU 03005'!$B$5</f>
        <v>Spacer 1</v>
      </c>
      <c r="G36" s="120"/>
      <c r="H36" s="122">
        <f t="shared" si="14"/>
        <v>2.6577472800000002</v>
      </c>
      <c r="I36" s="126">
        <f>SU_A0300_q*SU_03005_q</f>
        <v>4</v>
      </c>
      <c r="J36" s="123">
        <f>SU_03005_m</f>
        <v>1.7747280000000004E-2</v>
      </c>
      <c r="K36" s="123">
        <f>SU_03005_p</f>
        <v>2.64</v>
      </c>
      <c r="L36" s="123">
        <v>0</v>
      </c>
      <c r="M36" s="123">
        <v>0</v>
      </c>
      <c r="N36" s="124">
        <f t="shared" si="15"/>
        <v>10.630989120000001</v>
      </c>
      <c r="O36" s="125"/>
    </row>
    <row r="37" spans="1:15" ht="14.4" x14ac:dyDescent="0.3">
      <c r="A37" s="119"/>
      <c r="B37" s="119" t="s">
        <v>129</v>
      </c>
      <c r="C37" s="120" t="str">
        <f>SU_03006</f>
        <v>SU 03006</v>
      </c>
      <c r="D37" s="120" t="s">
        <v>11</v>
      </c>
      <c r="E37" s="120" t="str">
        <f t="shared" si="16"/>
        <v>Upper Back A-arm</v>
      </c>
      <c r="F37" s="121" t="str">
        <f>'SU 03006'!$B$5</f>
        <v>Spacer 2</v>
      </c>
      <c r="G37" s="120"/>
      <c r="H37" s="122">
        <f t="shared" si="14"/>
        <v>1.1551782399999999</v>
      </c>
      <c r="I37" s="126">
        <f>SU_A0300_q*SU_03006_q</f>
        <v>8</v>
      </c>
      <c r="J37" s="123">
        <f>SU_03006_m</f>
        <v>0.14197824000000003</v>
      </c>
      <c r="K37" s="123">
        <f>SU_03006_p</f>
        <v>1.0131999999999999</v>
      </c>
      <c r="L37" s="123">
        <v>0</v>
      </c>
      <c r="M37" s="123">
        <v>0</v>
      </c>
      <c r="N37" s="124">
        <f t="shared" si="15"/>
        <v>9.2414259199999993</v>
      </c>
      <c r="O37" s="125"/>
    </row>
    <row r="38" spans="1:15" ht="14.4" x14ac:dyDescent="0.3">
      <c r="A38" s="119"/>
      <c r="B38" s="119" t="s">
        <v>129</v>
      </c>
      <c r="C38" s="120" t="str">
        <f>SU_03007</f>
        <v>SU 03007</v>
      </c>
      <c r="D38" s="120" t="s">
        <v>11</v>
      </c>
      <c r="E38" s="120" t="str">
        <f t="shared" si="16"/>
        <v>Upper Back A-arm</v>
      </c>
      <c r="F38" s="121" t="str">
        <f>'SU 03007'!$B$5</f>
        <v>Outboard A-arm Insert</v>
      </c>
      <c r="G38" s="120"/>
      <c r="H38" s="122">
        <f t="shared" si="14"/>
        <v>0.47719727680000001</v>
      </c>
      <c r="I38" s="126">
        <f>SU_A0300_q*SU_03007_q</f>
        <v>4</v>
      </c>
      <c r="J38" s="123">
        <f>SU_03007_m</f>
        <v>7.7197276800000006E-2</v>
      </c>
      <c r="K38" s="123">
        <f>SU_03007_p</f>
        <v>0.4</v>
      </c>
      <c r="L38" s="123">
        <v>0</v>
      </c>
      <c r="M38" s="123">
        <v>0</v>
      </c>
      <c r="N38" s="124">
        <f t="shared" si="15"/>
        <v>1.9087891072000001</v>
      </c>
      <c r="O38" s="125"/>
    </row>
    <row r="39" spans="1:15" ht="14.4" x14ac:dyDescent="0.3">
      <c r="A39" s="476"/>
      <c r="B39" s="119" t="s">
        <v>129</v>
      </c>
      <c r="C39" s="120" t="str">
        <f>SU_03008</f>
        <v>SU 03008</v>
      </c>
      <c r="D39" s="120" t="s">
        <v>11</v>
      </c>
      <c r="E39" s="120" t="str">
        <f t="shared" si="16"/>
        <v>Upper Back A-arm</v>
      </c>
      <c r="F39" s="478" t="str">
        <f>'SU 03008'!$B$5</f>
        <v>Front up bracket</v>
      </c>
      <c r="G39" s="477"/>
      <c r="H39" s="122">
        <f t="shared" ref="H39:H50" si="17">SUM(J39:M39)</f>
        <v>1.4969516249999999</v>
      </c>
      <c r="I39" s="126">
        <f>SU_A0300_q*SU_03008_q</f>
        <v>2</v>
      </c>
      <c r="J39" s="123">
        <f>SU_03008_m</f>
        <v>0.19777862500000001</v>
      </c>
      <c r="K39" s="123">
        <f>SU_03008_p</f>
        <v>1.2991729999999999</v>
      </c>
      <c r="L39" s="123">
        <v>0</v>
      </c>
      <c r="M39" s="123">
        <v>0</v>
      </c>
      <c r="N39" s="124">
        <f t="shared" ref="N39:N50" si="18">H39*I39</f>
        <v>2.9939032499999998</v>
      </c>
      <c r="O39" s="479"/>
    </row>
    <row r="40" spans="1:15" ht="14.4" x14ac:dyDescent="0.3">
      <c r="A40" s="476"/>
      <c r="B40" s="119" t="s">
        <v>129</v>
      </c>
      <c r="C40" s="120" t="str">
        <f>SU_03009</f>
        <v>SU 03009</v>
      </c>
      <c r="D40" s="120" t="s">
        <v>11</v>
      </c>
      <c r="E40" s="120" t="str">
        <f t="shared" si="16"/>
        <v>Upper Back A-arm</v>
      </c>
      <c r="F40" s="478" t="str">
        <f>'SU 03009'!$B$5</f>
        <v>Front down bracket</v>
      </c>
      <c r="G40" s="477"/>
      <c r="H40" s="122">
        <f t="shared" si="17"/>
        <v>1.49211</v>
      </c>
      <c r="I40" s="126">
        <f>SU_A0300_q*SU_03009_q</f>
        <v>2</v>
      </c>
      <c r="J40" s="123">
        <f>SU_03009_m</f>
        <v>0.19063000000000002</v>
      </c>
      <c r="K40" s="123">
        <f>SU_03009_p</f>
        <v>1.30148</v>
      </c>
      <c r="L40" s="123">
        <v>0</v>
      </c>
      <c r="M40" s="123">
        <v>0</v>
      </c>
      <c r="N40" s="124">
        <f t="shared" si="18"/>
        <v>2.9842200000000001</v>
      </c>
      <c r="O40" s="479"/>
    </row>
    <row r="41" spans="1:15" ht="14.4" x14ac:dyDescent="0.3">
      <c r="A41" s="476"/>
      <c r="B41" s="119" t="s">
        <v>129</v>
      </c>
      <c r="C41" s="120" t="str">
        <f>SU_03010</f>
        <v>SU 03010</v>
      </c>
      <c r="D41" s="120" t="s">
        <v>11</v>
      </c>
      <c r="E41" s="120" t="str">
        <f t="shared" si="16"/>
        <v>Upper Back A-arm</v>
      </c>
      <c r="F41" s="478" t="str">
        <f>'SU 03010'!$B$5</f>
        <v>Rear up bracket</v>
      </c>
      <c r="G41" s="477"/>
      <c r="H41" s="122">
        <f t="shared" si="17"/>
        <v>1.2680301249999999</v>
      </c>
      <c r="I41" s="126">
        <f>SU_A0300_q*SU_03010_q</f>
        <v>2</v>
      </c>
      <c r="J41" s="123">
        <f>SU_03010_m</f>
        <v>7.3869125000000008E-2</v>
      </c>
      <c r="K41" s="123">
        <f>SU_03010_p</f>
        <v>1.1941609999999998</v>
      </c>
      <c r="L41" s="123">
        <v>0</v>
      </c>
      <c r="M41" s="123">
        <v>0</v>
      </c>
      <c r="N41" s="124">
        <f t="shared" si="18"/>
        <v>2.5360602499999998</v>
      </c>
      <c r="O41" s="479"/>
    </row>
    <row r="42" spans="1:15" ht="14.4" x14ac:dyDescent="0.3">
      <c r="A42" s="476"/>
      <c r="B42" s="119" t="s">
        <v>129</v>
      </c>
      <c r="C42" s="120" t="str">
        <f>SU_03011</f>
        <v>SU 03011</v>
      </c>
      <c r="D42" s="120" t="s">
        <v>11</v>
      </c>
      <c r="E42" s="120" t="str">
        <f t="shared" si="16"/>
        <v>Upper Back A-arm</v>
      </c>
      <c r="F42" s="478" t="str">
        <f>'SU 03011'!$B$5</f>
        <v>Rear down bracket</v>
      </c>
      <c r="G42" s="477"/>
      <c r="H42" s="122">
        <f t="shared" si="17"/>
        <v>1.3787631249999999</v>
      </c>
      <c r="I42" s="126">
        <f>SU_A0300_q*SU_03011_q</f>
        <v>2</v>
      </c>
      <c r="J42" s="123">
        <f>SU_03011_m</f>
        <v>0.13105812499999997</v>
      </c>
      <c r="K42" s="123">
        <f>SU_03011_p</f>
        <v>1.2477049999999998</v>
      </c>
      <c r="L42" s="123">
        <v>0</v>
      </c>
      <c r="M42" s="123">
        <v>0</v>
      </c>
      <c r="N42" s="124">
        <f t="shared" si="18"/>
        <v>2.7575262499999997</v>
      </c>
      <c r="O42" s="479"/>
    </row>
    <row r="43" spans="1:15" ht="14.4" x14ac:dyDescent="0.3">
      <c r="A43" s="112"/>
      <c r="B43" s="113" t="s">
        <v>129</v>
      </c>
      <c r="C43" s="114" t="str">
        <f>SU_A0400</f>
        <v>SU A0400</v>
      </c>
      <c r="D43" s="114" t="s">
        <v>11</v>
      </c>
      <c r="E43" s="114"/>
      <c r="F43" s="144" t="str">
        <f>'SU A0400'!B4</f>
        <v>Lower Back A-arm</v>
      </c>
      <c r="G43" s="114"/>
      <c r="H43" s="115">
        <f t="shared" si="17"/>
        <v>38.908909427520669</v>
      </c>
      <c r="I43" s="151">
        <f>SU_A0400_q</f>
        <v>2</v>
      </c>
      <c r="J43" s="116">
        <f>SU_A0400_m</f>
        <v>20.759999999999998</v>
      </c>
      <c r="K43" s="116">
        <f>SU_A0400_p</f>
        <v>16.033700000000003</v>
      </c>
      <c r="L43" s="116">
        <f>SU_A0400_f</f>
        <v>0.78187609418733417</v>
      </c>
      <c r="M43" s="116">
        <f>SU_A0400_t</f>
        <v>1.3333333333333333</v>
      </c>
      <c r="N43" s="117">
        <f t="shared" si="18"/>
        <v>77.817818855041338</v>
      </c>
      <c r="O43" s="118"/>
    </row>
    <row r="44" spans="1:15" ht="14.4" x14ac:dyDescent="0.3">
      <c r="A44" s="119"/>
      <c r="B44" s="119" t="s">
        <v>129</v>
      </c>
      <c r="C44" s="120" t="str">
        <f>SU_04001</f>
        <v>SU 04001</v>
      </c>
      <c r="D44" s="120" t="s">
        <v>11</v>
      </c>
      <c r="E44" s="120" t="str">
        <f>$F$43</f>
        <v>Lower Back A-arm</v>
      </c>
      <c r="F44" s="121" t="str">
        <f>'SU 04001'!$B$5</f>
        <v>Lower Back Bearing Support</v>
      </c>
      <c r="G44" s="120"/>
      <c r="H44" s="122">
        <f t="shared" si="17"/>
        <v>8.9540000000000006</v>
      </c>
      <c r="I44" s="126">
        <f>SU_A0400_q*SU_04001_q</f>
        <v>2</v>
      </c>
      <c r="J44" s="123">
        <f>SU_04001_m</f>
        <v>4.2</v>
      </c>
      <c r="K44" s="123">
        <f>SU_04001_p</f>
        <v>4.7540000000000004</v>
      </c>
      <c r="L44" s="123">
        <v>0</v>
      </c>
      <c r="M44" s="123">
        <v>0</v>
      </c>
      <c r="N44" s="124">
        <f t="shared" si="18"/>
        <v>17.908000000000001</v>
      </c>
      <c r="O44" s="125"/>
    </row>
    <row r="45" spans="1:15" ht="14.4" x14ac:dyDescent="0.3">
      <c r="A45" s="119"/>
      <c r="B45" s="119" t="s">
        <v>129</v>
      </c>
      <c r="C45" s="120" t="str">
        <f>SU_04002</f>
        <v>SU_04002</v>
      </c>
      <c r="D45" s="120" t="s">
        <v>11</v>
      </c>
      <c r="E45" s="120" t="str">
        <f t="shared" ref="E45:E54" si="19">$F$43</f>
        <v>Lower Back A-arm</v>
      </c>
      <c r="F45" s="121" t="str">
        <f>'SU 04002'!$B$5</f>
        <v>Inner Bearing Support</v>
      </c>
      <c r="G45" s="120"/>
      <c r="H45" s="122">
        <f t="shared" si="17"/>
        <v>3.3353805440000004</v>
      </c>
      <c r="I45" s="126">
        <f>SU_A0400_q*SU_04002_q</f>
        <v>4</v>
      </c>
      <c r="J45" s="123">
        <f>SU_04002_m</f>
        <v>0.85838054400000008</v>
      </c>
      <c r="K45" s="123">
        <f>SU_04002_p</f>
        <v>2.4770000000000003</v>
      </c>
      <c r="L45" s="123">
        <v>0</v>
      </c>
      <c r="M45" s="123">
        <v>0</v>
      </c>
      <c r="N45" s="124">
        <f t="shared" si="18"/>
        <v>13.341522176000002</v>
      </c>
      <c r="O45" s="125"/>
    </row>
    <row r="46" spans="1:15" ht="14.4" x14ac:dyDescent="0.3">
      <c r="A46" s="119"/>
      <c r="B46" s="119" t="s">
        <v>129</v>
      </c>
      <c r="C46" s="120" t="str">
        <f>SU_04003</f>
        <v>SU_04003</v>
      </c>
      <c r="D46" s="120" t="s">
        <v>11</v>
      </c>
      <c r="E46" s="120" t="str">
        <f t="shared" si="19"/>
        <v>Lower Back A-arm</v>
      </c>
      <c r="F46" s="121" t="str">
        <f>'SU 04003'!$B$5</f>
        <v>Lower Back A-arm tube (Front)  Carbon Fiber Tube</v>
      </c>
      <c r="G46" s="120"/>
      <c r="H46" s="122">
        <f t="shared" si="17"/>
        <v>12.033390599999997</v>
      </c>
      <c r="I46" s="126">
        <f>SU_A0400_q*SU_04003_q</f>
        <v>2</v>
      </c>
      <c r="J46" s="123">
        <f>SU_04003_m</f>
        <v>10.696347199999998</v>
      </c>
      <c r="K46" s="123">
        <f>SU_04003_p</f>
        <v>1.3370433999999998</v>
      </c>
      <c r="L46" s="123">
        <v>0</v>
      </c>
      <c r="M46" s="123">
        <v>0</v>
      </c>
      <c r="N46" s="124">
        <f t="shared" si="18"/>
        <v>24.066781199999994</v>
      </c>
      <c r="O46" s="125"/>
    </row>
    <row r="47" spans="1:15" ht="14.4" x14ac:dyDescent="0.3">
      <c r="A47" s="119"/>
      <c r="B47" s="119" t="s">
        <v>129</v>
      </c>
      <c r="C47" s="120" t="str">
        <f>SU_04004</f>
        <v>SU_04004</v>
      </c>
      <c r="D47" s="120" t="s">
        <v>11</v>
      </c>
      <c r="E47" s="120" t="str">
        <f t="shared" si="19"/>
        <v>Lower Back A-arm</v>
      </c>
      <c r="F47" s="121" t="str">
        <f>'SU 04004'!$B$5</f>
        <v>Lower Back A-arm tube (Back)  Carbon Fiber Tube</v>
      </c>
      <c r="G47" s="120"/>
      <c r="H47" s="122">
        <f t="shared" si="17"/>
        <v>7.4075677199999985</v>
      </c>
      <c r="I47" s="126">
        <f>SU_A0400_q*SU_04004_q</f>
        <v>2</v>
      </c>
      <c r="J47" s="123">
        <f>SU_04004_m</f>
        <v>6.5845046399999987</v>
      </c>
      <c r="K47" s="123">
        <f>SU_04004_p</f>
        <v>0.82306307999999995</v>
      </c>
      <c r="L47" s="123">
        <v>0</v>
      </c>
      <c r="M47" s="123">
        <v>0</v>
      </c>
      <c r="N47" s="124">
        <f t="shared" si="18"/>
        <v>14.815135439999997</v>
      </c>
      <c r="O47" s="125"/>
    </row>
    <row r="48" spans="1:15" ht="14.4" x14ac:dyDescent="0.3">
      <c r="A48" s="119"/>
      <c r="B48" s="119" t="s">
        <v>129</v>
      </c>
      <c r="C48" s="120" t="str">
        <f>SU_04005</f>
        <v>SU_04005</v>
      </c>
      <c r="D48" s="120" t="s">
        <v>11</v>
      </c>
      <c r="E48" s="120" t="str">
        <f t="shared" si="19"/>
        <v>Lower Back A-arm</v>
      </c>
      <c r="F48" s="121" t="str">
        <f>'SU 04005'!$B$5</f>
        <v>Spacer 1</v>
      </c>
      <c r="G48" s="120"/>
      <c r="H48" s="122">
        <f t="shared" si="17"/>
        <v>2.6676857568000001</v>
      </c>
      <c r="I48" s="126">
        <f>SU_A0400_q*SU_04005_q</f>
        <v>4</v>
      </c>
      <c r="J48" s="123">
        <f>SU_04005_m</f>
        <v>2.7685756800000003E-2</v>
      </c>
      <c r="K48" s="123">
        <f>SU_04005_p</f>
        <v>2.64</v>
      </c>
      <c r="L48" s="123">
        <v>0</v>
      </c>
      <c r="M48" s="123">
        <v>0</v>
      </c>
      <c r="N48" s="124">
        <f t="shared" si="18"/>
        <v>10.6707430272</v>
      </c>
      <c r="O48" s="125"/>
    </row>
    <row r="49" spans="1:15" ht="14.4" x14ac:dyDescent="0.3">
      <c r="A49" s="119"/>
      <c r="B49" s="119" t="s">
        <v>129</v>
      </c>
      <c r="C49" s="120" t="str">
        <f>SU_04006</f>
        <v>SU_04006</v>
      </c>
      <c r="D49" s="120" t="s">
        <v>11</v>
      </c>
      <c r="E49" s="120" t="str">
        <f t="shared" si="19"/>
        <v>Lower Back A-arm</v>
      </c>
      <c r="F49" s="121" t="str">
        <f>'SU 04006'!$B$5</f>
        <v>Spacer 2</v>
      </c>
      <c r="G49" s="120"/>
      <c r="H49" s="122">
        <f t="shared" si="17"/>
        <v>1.1551782399999999</v>
      </c>
      <c r="I49" s="126">
        <f>SU_A0400_q*SU_04006_q</f>
        <v>8</v>
      </c>
      <c r="J49" s="123">
        <f>SU_04006_m</f>
        <v>0.14197824000000003</v>
      </c>
      <c r="K49" s="123">
        <f>SU_04006_p</f>
        <v>1.0131999999999999</v>
      </c>
      <c r="L49" s="123">
        <v>0</v>
      </c>
      <c r="M49" s="123">
        <v>0</v>
      </c>
      <c r="N49" s="124">
        <f t="shared" si="18"/>
        <v>9.2414259199999993</v>
      </c>
      <c r="O49" s="125"/>
    </row>
    <row r="50" spans="1:15" ht="14.4" x14ac:dyDescent="0.3">
      <c r="A50" s="119"/>
      <c r="B50" s="119" t="s">
        <v>129</v>
      </c>
      <c r="C50" s="120" t="str">
        <f>SU_04007</f>
        <v>SU_04007</v>
      </c>
      <c r="D50" s="120" t="s">
        <v>11</v>
      </c>
      <c r="E50" s="120" t="str">
        <f t="shared" si="19"/>
        <v>Lower Back A-arm</v>
      </c>
      <c r="F50" s="121" t="str">
        <f>'SU 04007'!$B$5</f>
        <v>Outboard A-arm Insert</v>
      </c>
      <c r="G50" s="120"/>
      <c r="H50" s="122">
        <f t="shared" si="17"/>
        <v>0.47719727680000001</v>
      </c>
      <c r="I50" s="126">
        <f>SU_A0400_q*SU_04007_q</f>
        <v>4</v>
      </c>
      <c r="J50" s="123">
        <f>SU_04007_m</f>
        <v>7.7197276800000006E-2</v>
      </c>
      <c r="K50" s="123">
        <f>SU_04007_p</f>
        <v>0.4</v>
      </c>
      <c r="L50" s="123">
        <v>0</v>
      </c>
      <c r="M50" s="123">
        <v>0</v>
      </c>
      <c r="N50" s="124">
        <f t="shared" si="18"/>
        <v>1.9087891072000001</v>
      </c>
      <c r="O50" s="125"/>
    </row>
    <row r="51" spans="1:15" ht="14.4" x14ac:dyDescent="0.3">
      <c r="A51" s="476"/>
      <c r="B51" s="119" t="s">
        <v>129</v>
      </c>
      <c r="C51" s="120" t="str">
        <f>SU_04008</f>
        <v>SU 04008</v>
      </c>
      <c r="D51" s="120" t="s">
        <v>11</v>
      </c>
      <c r="E51" s="120" t="str">
        <f t="shared" si="19"/>
        <v>Lower Back A-arm</v>
      </c>
      <c r="F51" s="121" t="str">
        <f>'SU 04008'!$B$5</f>
        <v>Front up bracket</v>
      </c>
      <c r="G51" s="477"/>
      <c r="H51" s="122">
        <f t="shared" ref="H51:H56" si="20">SUM(J51:M51)</f>
        <v>1.3905750000000001</v>
      </c>
      <c r="I51" s="126">
        <f>SU_A0400_q*SU_04008_q</f>
        <v>2</v>
      </c>
      <c r="J51" s="123">
        <f>SU_04008_m</f>
        <v>0.12997500000000001</v>
      </c>
      <c r="K51" s="123">
        <f>SU_04008_p</f>
        <v>1.2606000000000002</v>
      </c>
      <c r="L51" s="123">
        <v>0</v>
      </c>
      <c r="M51" s="123">
        <v>0</v>
      </c>
      <c r="N51" s="124">
        <f t="shared" ref="N51:N67" si="21">H51*I51</f>
        <v>2.7811500000000002</v>
      </c>
      <c r="O51" s="479"/>
    </row>
    <row r="52" spans="1:15" ht="14.4" x14ac:dyDescent="0.3">
      <c r="A52" s="476"/>
      <c r="B52" s="119" t="s">
        <v>129</v>
      </c>
      <c r="C52" s="120" t="str">
        <f>SU_04009</f>
        <v>SU 04009</v>
      </c>
      <c r="D52" s="120" t="s">
        <v>11</v>
      </c>
      <c r="E52" s="120" t="str">
        <f t="shared" si="19"/>
        <v>Lower Back A-arm</v>
      </c>
      <c r="F52" s="478" t="str">
        <f>'SU 04009'!$B$5</f>
        <v>Front down bracket</v>
      </c>
      <c r="G52" s="477"/>
      <c r="H52" s="122">
        <f t="shared" si="20"/>
        <v>1.3814265000000003</v>
      </c>
      <c r="I52" s="126">
        <f>SU_A0400_q*SU_04009_q</f>
        <v>2</v>
      </c>
      <c r="J52" s="123">
        <f>SU_04009_m</f>
        <v>0.13257449999999998</v>
      </c>
      <c r="K52" s="123">
        <f>SU_04009_p</f>
        <v>1.2488520000000003</v>
      </c>
      <c r="L52" s="123">
        <v>0</v>
      </c>
      <c r="M52" s="123">
        <v>0</v>
      </c>
      <c r="N52" s="124">
        <f t="shared" si="21"/>
        <v>2.7628530000000007</v>
      </c>
      <c r="O52" s="479"/>
    </row>
    <row r="53" spans="1:15" ht="14.4" x14ac:dyDescent="0.3">
      <c r="A53" s="476"/>
      <c r="B53" s="119" t="s">
        <v>129</v>
      </c>
      <c r="C53" s="120" t="str">
        <f>SU_04010</f>
        <v>SU 04010</v>
      </c>
      <c r="D53" s="120" t="s">
        <v>11</v>
      </c>
      <c r="E53" s="120" t="str">
        <f t="shared" si="19"/>
        <v>Lower Back A-arm</v>
      </c>
      <c r="F53" s="478" t="str">
        <f>'SU 04010'!$B$5</f>
        <v>Rear up bracket</v>
      </c>
      <c r="G53" s="477"/>
      <c r="H53" s="122">
        <f t="shared" si="20"/>
        <v>1.8130709999999999</v>
      </c>
      <c r="I53" s="126">
        <f>SU_A0400_q*SU_04010_q</f>
        <v>2</v>
      </c>
      <c r="J53" s="123">
        <f>SU_04010_m</f>
        <v>0.29634299999999991</v>
      </c>
      <c r="K53" s="123">
        <f>SU_04010_p</f>
        <v>1.5167280000000001</v>
      </c>
      <c r="L53" s="123">
        <v>0</v>
      </c>
      <c r="M53" s="123">
        <v>0</v>
      </c>
      <c r="N53" s="124">
        <f t="shared" si="21"/>
        <v>3.6261419999999998</v>
      </c>
      <c r="O53" s="479"/>
    </row>
    <row r="54" spans="1:15" ht="14.4" x14ac:dyDescent="0.3">
      <c r="A54" s="476"/>
      <c r="B54" s="119" t="s">
        <v>129</v>
      </c>
      <c r="C54" s="120" t="str">
        <f>SU_04011</f>
        <v>SU 04011</v>
      </c>
      <c r="D54" s="120" t="s">
        <v>11</v>
      </c>
      <c r="E54" s="120" t="str">
        <f t="shared" si="19"/>
        <v>Lower Back A-arm</v>
      </c>
      <c r="F54" s="478" t="str">
        <f>'SU 04011'!$B$5</f>
        <v>Rear down bracket</v>
      </c>
      <c r="G54" s="477"/>
      <c r="H54" s="122">
        <f t="shared" si="20"/>
        <v>1.9015070000000001</v>
      </c>
      <c r="I54" s="126">
        <f>SU_A0400_q*SU_04011_q</f>
        <v>2</v>
      </c>
      <c r="J54" s="123">
        <f>SU_04011_m</f>
        <v>0.35873100000000002</v>
      </c>
      <c r="K54" s="123">
        <f>SU_04011_p</f>
        <v>1.5427759999999999</v>
      </c>
      <c r="L54" s="123">
        <v>0</v>
      </c>
      <c r="M54" s="123">
        <v>0</v>
      </c>
      <c r="N54" s="124">
        <f t="shared" si="21"/>
        <v>3.8030140000000001</v>
      </c>
      <c r="O54" s="479"/>
    </row>
    <row r="55" spans="1:15" ht="14.4" x14ac:dyDescent="0.3">
      <c r="A55" s="112"/>
      <c r="B55" s="112" t="s">
        <v>129</v>
      </c>
      <c r="C55" s="114" t="s">
        <v>344</v>
      </c>
      <c r="D55" s="114" t="s">
        <v>11</v>
      </c>
      <c r="E55" s="114"/>
      <c r="F55" s="274" t="str">
        <f>'SU A0500'!B4</f>
        <v>Front suspension</v>
      </c>
      <c r="G55" s="114"/>
      <c r="H55" s="115">
        <f t="shared" si="20"/>
        <v>332.69722874847344</v>
      </c>
      <c r="I55" s="691">
        <f>SU_A0500_q</f>
        <v>2</v>
      </c>
      <c r="J55" s="116">
        <f>SU_A0500_m</f>
        <v>330.04</v>
      </c>
      <c r="K55" s="116">
        <f>SU_A0500_p</f>
        <v>2.12</v>
      </c>
      <c r="L55" s="116">
        <f>SU_A0500_f</f>
        <v>0.20389541514008255</v>
      </c>
      <c r="M55" s="116">
        <f>SU_A0500_t</f>
        <v>0.33333333333333331</v>
      </c>
      <c r="N55" s="117">
        <f t="shared" si="21"/>
        <v>665.39445749694687</v>
      </c>
      <c r="O55" s="118"/>
    </row>
    <row r="56" spans="1:15" ht="14.4" x14ac:dyDescent="0.3">
      <c r="A56" s="119"/>
      <c r="B56" s="119" t="s">
        <v>129</v>
      </c>
      <c r="C56" s="120" t="str">
        <f>SU_05001</f>
        <v>SU 05001</v>
      </c>
      <c r="D56" s="120" t="s">
        <v>11</v>
      </c>
      <c r="E56" s="120" t="str">
        <f>F55</f>
        <v>Front suspension</v>
      </c>
      <c r="F56" s="121" t="str">
        <f>'SU 05001'!B5</f>
        <v>Shock Front Bracket</v>
      </c>
      <c r="G56" s="120"/>
      <c r="H56" s="122">
        <f t="shared" si="20"/>
        <v>5.9234014172552163</v>
      </c>
      <c r="I56" s="692">
        <f>SU_05001_q</f>
        <v>1</v>
      </c>
      <c r="J56" s="123">
        <f>SU_05001_m</f>
        <v>0.38660141725521602</v>
      </c>
      <c r="K56" s="123">
        <f>SU_05001_p</f>
        <v>5.5368000000000004</v>
      </c>
      <c r="L56" s="123">
        <v>0</v>
      </c>
      <c r="M56" s="123">
        <v>0</v>
      </c>
      <c r="N56" s="124">
        <f t="shared" si="21"/>
        <v>5.9234014172552163</v>
      </c>
      <c r="O56" s="125"/>
    </row>
    <row r="57" spans="1:15" ht="14.4" x14ac:dyDescent="0.3">
      <c r="A57" s="705"/>
      <c r="B57" s="112" t="s">
        <v>129</v>
      </c>
      <c r="C57" s="707" t="str">
        <f>SU_A0600</f>
        <v>SU A0600</v>
      </c>
      <c r="D57" s="707" t="s">
        <v>11</v>
      </c>
      <c r="E57" s="707"/>
      <c r="F57" s="708" t="str">
        <f>'SU A0600'!B4</f>
        <v>Front Bell Crank</v>
      </c>
      <c r="G57" s="707"/>
      <c r="H57" s="709">
        <f t="shared" ref="H57:H61" si="22">SUM(J57:M57)</f>
        <v>2.2678904435983189</v>
      </c>
      <c r="I57" s="710">
        <f>SU_A0600_q</f>
        <v>2</v>
      </c>
      <c r="J57" s="711">
        <f>SU_A0600_m</f>
        <v>0.09</v>
      </c>
      <c r="K57" s="711">
        <f>SU_A0600_p</f>
        <v>1.5945</v>
      </c>
      <c r="L57" s="711">
        <f>SU_A0600_f</f>
        <v>0.25005711026498539</v>
      </c>
      <c r="M57" s="711">
        <f>SU_A0600_t</f>
        <v>0.33333333333333331</v>
      </c>
      <c r="N57" s="712">
        <f t="shared" si="21"/>
        <v>4.5357808871966379</v>
      </c>
      <c r="O57" s="713"/>
    </row>
    <row r="58" spans="1:15" ht="14.4" x14ac:dyDescent="0.3">
      <c r="A58" s="476"/>
      <c r="B58" s="119" t="s">
        <v>129</v>
      </c>
      <c r="C58" s="120" t="str">
        <f>SU_06001</f>
        <v>SU 06001</v>
      </c>
      <c r="D58" s="477" t="s">
        <v>11</v>
      </c>
      <c r="E58" s="477" t="s">
        <v>384</v>
      </c>
      <c r="F58" s="478" t="s">
        <v>385</v>
      </c>
      <c r="G58" s="477"/>
      <c r="H58" s="715">
        <f t="shared" si="22"/>
        <v>1.3710986506763019</v>
      </c>
      <c r="I58" s="716">
        <f>SU_06001_q</f>
        <v>2</v>
      </c>
      <c r="J58" s="717">
        <f>SU_06001_m</f>
        <v>4.6098650676301943E-2</v>
      </c>
      <c r="K58" s="717">
        <f>SU_06001_p</f>
        <v>1.325</v>
      </c>
      <c r="L58" s="717">
        <v>0</v>
      </c>
      <c r="M58" s="717">
        <v>0</v>
      </c>
      <c r="N58" s="718">
        <f t="shared" si="21"/>
        <v>2.7421973013526038</v>
      </c>
      <c r="O58" s="479"/>
    </row>
    <row r="59" spans="1:15" ht="14.4" x14ac:dyDescent="0.3">
      <c r="A59" s="476"/>
      <c r="B59" s="714" t="str">
        <f>'SU A0600'!$B$3</f>
        <v>Suspension &amp; Shocks</v>
      </c>
      <c r="C59" s="120" t="str">
        <f>SU_06002</f>
        <v>SU 06002</v>
      </c>
      <c r="D59" s="477" t="s">
        <v>11</v>
      </c>
      <c r="E59" s="477" t="s">
        <v>384</v>
      </c>
      <c r="F59" s="478" t="s">
        <v>386</v>
      </c>
      <c r="G59" s="477"/>
      <c r="H59" s="715">
        <f t="shared" si="22"/>
        <v>1.5427786126391492</v>
      </c>
      <c r="I59" s="719">
        <f>SU_06002_q</f>
        <v>1</v>
      </c>
      <c r="J59" s="717">
        <f>SU_06002_m</f>
        <v>5.4378612639149136E-2</v>
      </c>
      <c r="K59" s="717">
        <f>SU_06002_p</f>
        <v>1.4883999999999999</v>
      </c>
      <c r="L59" s="717">
        <v>0</v>
      </c>
      <c r="M59" s="717">
        <v>0</v>
      </c>
      <c r="N59" s="718">
        <f t="shared" si="21"/>
        <v>1.5427786126391492</v>
      </c>
      <c r="O59" s="479"/>
    </row>
    <row r="60" spans="1:15" ht="14.4" x14ac:dyDescent="0.3">
      <c r="A60" s="476"/>
      <c r="B60" s="714" t="str">
        <f>'SU A0600'!$B$3</f>
        <v>Suspension &amp; Shocks</v>
      </c>
      <c r="C60" s="120" t="str">
        <f>SU_06003</f>
        <v>SU 06003</v>
      </c>
      <c r="D60" s="477" t="s">
        <v>11</v>
      </c>
      <c r="E60" s="477" t="s">
        <v>384</v>
      </c>
      <c r="F60" s="478" t="s">
        <v>387</v>
      </c>
      <c r="G60" s="477"/>
      <c r="H60" s="715">
        <f t="shared" si="22"/>
        <v>0.88140624999999995</v>
      </c>
      <c r="I60" s="719">
        <f>SU_06003_q</f>
        <v>2</v>
      </c>
      <c r="J60" s="717">
        <f>SU_06003_m</f>
        <v>0.39740625000000002</v>
      </c>
      <c r="K60" s="717">
        <f>SU_06003_p</f>
        <v>0.48399999999999999</v>
      </c>
      <c r="L60" s="717">
        <v>0</v>
      </c>
      <c r="M60" s="717">
        <v>0</v>
      </c>
      <c r="N60" s="718">
        <f t="shared" si="21"/>
        <v>1.7628124999999999</v>
      </c>
      <c r="O60" s="479"/>
    </row>
    <row r="61" spans="1:15" ht="14.4" x14ac:dyDescent="0.3">
      <c r="A61" s="476"/>
      <c r="B61" s="714" t="str">
        <f>'SU A0600'!$B$3</f>
        <v>Suspension &amp; Shocks</v>
      </c>
      <c r="C61" s="120" t="str">
        <f>SU_06004</f>
        <v>SU 06004</v>
      </c>
      <c r="D61" s="477" t="s">
        <v>11</v>
      </c>
      <c r="E61" s="477" t="s">
        <v>384</v>
      </c>
      <c r="F61" s="478" t="s">
        <v>388</v>
      </c>
      <c r="G61" s="477"/>
      <c r="H61" s="715">
        <f t="shared" si="22"/>
        <v>2.2702062500000002</v>
      </c>
      <c r="I61" s="719">
        <f>SU_06003_q</f>
        <v>2</v>
      </c>
      <c r="J61" s="717">
        <f>SU_06004_m</f>
        <v>0.11480624999999998</v>
      </c>
      <c r="K61" s="717">
        <f>SU_06004_p</f>
        <v>2.1554000000000002</v>
      </c>
      <c r="L61" s="717">
        <v>0</v>
      </c>
      <c r="M61" s="717">
        <v>0</v>
      </c>
      <c r="N61" s="718">
        <f t="shared" si="21"/>
        <v>4.5404125000000004</v>
      </c>
      <c r="O61" s="479"/>
    </row>
    <row r="62" spans="1:15" ht="14.4" x14ac:dyDescent="0.3">
      <c r="A62" s="705"/>
      <c r="B62" s="706" t="str">
        <f>'SU A0600'!$B$3</f>
        <v>Suspension &amp; Shocks</v>
      </c>
      <c r="C62" s="114" t="str">
        <f>SU_A0700</f>
        <v>SU A0700</v>
      </c>
      <c r="D62" s="707" t="s">
        <v>11</v>
      </c>
      <c r="E62" s="707"/>
      <c r="F62" s="708" t="str">
        <f>'SU A0700'!B4</f>
        <v>Rear suspension</v>
      </c>
      <c r="G62" s="707"/>
      <c r="H62" s="709">
        <f t="shared" ref="H62:H63" si="23">SUM(J62:M62)</f>
        <v>335.02112416361354</v>
      </c>
      <c r="I62" s="710">
        <f>SU_A0700_q</f>
        <v>2</v>
      </c>
      <c r="J62" s="711">
        <f>SU_A0700_m</f>
        <v>330.04</v>
      </c>
      <c r="K62" s="711">
        <f>SU_A0700_p</f>
        <v>4.24</v>
      </c>
      <c r="L62" s="711">
        <f>SU_A0700_f</f>
        <v>0.40779083028016511</v>
      </c>
      <c r="M62" s="711">
        <f>SU_A0700_t</f>
        <v>0.33333333333333331</v>
      </c>
      <c r="N62" s="712">
        <f t="shared" si="21"/>
        <v>670.04224832722707</v>
      </c>
      <c r="O62" s="713"/>
    </row>
    <row r="63" spans="1:15" ht="14.4" x14ac:dyDescent="0.3">
      <c r="A63" s="476"/>
      <c r="B63" s="714" t="str">
        <f>'SU A0600'!$B$3</f>
        <v>Suspension &amp; Shocks</v>
      </c>
      <c r="C63" s="794" t="str">
        <f>SU_07001</f>
        <v>SU 07001</v>
      </c>
      <c r="D63" s="477" t="s">
        <v>11</v>
      </c>
      <c r="E63" s="477" t="str">
        <f>F62</f>
        <v>Rear suspension</v>
      </c>
      <c r="F63" s="478" t="str">
        <f>'SU 07001'!B5</f>
        <v>Shock rear Bracket</v>
      </c>
      <c r="G63" s="477"/>
      <c r="H63" s="715">
        <f t="shared" si="23"/>
        <v>5.9234014172552163</v>
      </c>
      <c r="I63" s="716">
        <f>SU_07001_q</f>
        <v>1</v>
      </c>
      <c r="J63" s="717">
        <f>SU_07001_m</f>
        <v>0.38660141725521602</v>
      </c>
      <c r="K63" s="717">
        <f>SU_07001_p</f>
        <v>5.5368000000000004</v>
      </c>
      <c r="L63" s="717">
        <v>0</v>
      </c>
      <c r="M63" s="717">
        <v>0</v>
      </c>
      <c r="N63" s="718">
        <f t="shared" si="21"/>
        <v>5.9234014172552163</v>
      </c>
      <c r="O63" s="479"/>
    </row>
    <row r="64" spans="1:15" ht="14.4" x14ac:dyDescent="0.3">
      <c r="A64" s="112"/>
      <c r="B64" s="706" t="str">
        <f>'SU A0600'!$B$3</f>
        <v>Suspension &amp; Shocks</v>
      </c>
      <c r="C64" s="114" t="str">
        <f>SU_A0800</f>
        <v>SU A0800</v>
      </c>
      <c r="D64" s="114" t="s">
        <v>11</v>
      </c>
      <c r="E64" s="114"/>
      <c r="F64" s="274" t="s">
        <v>440</v>
      </c>
      <c r="G64" s="114"/>
      <c r="H64" s="115">
        <f t="shared" ref="H64:H67" si="24">SUM(J64:M64)</f>
        <v>4.8177252544509166</v>
      </c>
      <c r="I64" s="691">
        <f>SU_A0800_q</f>
        <v>2</v>
      </c>
      <c r="J64" s="116">
        <f>SU_A0800_m</f>
        <v>0.2</v>
      </c>
      <c r="K64" s="116">
        <f>SU_A0800_p</f>
        <v>3.5024999999999999</v>
      </c>
      <c r="L64" s="116">
        <f>SU_A0800_f</f>
        <v>0.11522525445091675</v>
      </c>
      <c r="M64" s="116">
        <f>SU_A0800_t</f>
        <v>1</v>
      </c>
      <c r="N64" s="117">
        <f t="shared" si="21"/>
        <v>9.6354505089018332</v>
      </c>
      <c r="O64" s="118"/>
    </row>
    <row r="65" spans="1:15" ht="14.4" x14ac:dyDescent="0.3">
      <c r="A65" s="119"/>
      <c r="B65" s="714" t="str">
        <f>'SU A0600'!$B$3</f>
        <v>Suspension &amp; Shocks</v>
      </c>
      <c r="C65" s="794" t="str">
        <f>SU_08001</f>
        <v>SU 08001</v>
      </c>
      <c r="D65" s="120" t="s">
        <v>11</v>
      </c>
      <c r="E65" s="120" t="str">
        <f>$F$64</f>
        <v>Rear Bell Cranck</v>
      </c>
      <c r="F65" s="121" t="s">
        <v>385</v>
      </c>
      <c r="G65" s="120"/>
      <c r="H65" s="122">
        <f t="shared" si="24"/>
        <v>1.3710986506763019</v>
      </c>
      <c r="I65" s="692">
        <f>SU_08001_q</f>
        <v>2</v>
      </c>
      <c r="J65" s="123">
        <f>SU_08001_m</f>
        <v>4.6098650676301943E-2</v>
      </c>
      <c r="K65" s="123">
        <f>SU_08001_p</f>
        <v>1.325</v>
      </c>
      <c r="L65" s="123">
        <v>0</v>
      </c>
      <c r="M65" s="123">
        <v>0</v>
      </c>
      <c r="N65" s="124">
        <f t="shared" si="21"/>
        <v>2.7421973013526038</v>
      </c>
      <c r="O65" s="125"/>
    </row>
    <row r="66" spans="1:15" ht="14.4" x14ac:dyDescent="0.3">
      <c r="A66" s="119"/>
      <c r="B66" s="798" t="str">
        <f>'SU A0800'!$B$3</f>
        <v>Suspension &amp; Shocks</v>
      </c>
      <c r="C66" s="794" t="str">
        <f>SU_08002</f>
        <v>SU 08002</v>
      </c>
      <c r="D66" s="120" t="s">
        <v>11</v>
      </c>
      <c r="E66" s="120" t="str">
        <f t="shared" ref="E66:E67" si="25">$F$64</f>
        <v>Rear Bell Cranck</v>
      </c>
      <c r="F66" s="121" t="s">
        <v>387</v>
      </c>
      <c r="G66" s="120"/>
      <c r="H66" s="122">
        <f t="shared" si="24"/>
        <v>2.0644187499999997</v>
      </c>
      <c r="I66" s="126">
        <f>SU_08002_q</f>
        <v>2</v>
      </c>
      <c r="J66" s="123">
        <f>SU_08002_m</f>
        <v>0.34441874999999994</v>
      </c>
      <c r="K66" s="123">
        <f>SU_08002_p</f>
        <v>1.72</v>
      </c>
      <c r="L66" s="123">
        <v>0</v>
      </c>
      <c r="M66" s="123">
        <v>0</v>
      </c>
      <c r="N66" s="124">
        <f t="shared" si="21"/>
        <v>4.1288374999999995</v>
      </c>
      <c r="O66" s="125"/>
    </row>
    <row r="67" spans="1:15" ht="14.4" x14ac:dyDescent="0.3">
      <c r="A67" s="119"/>
      <c r="B67" s="798" t="str">
        <f>'SU A0800'!$B$3</f>
        <v>Suspension &amp; Shocks</v>
      </c>
      <c r="C67" s="794" t="str">
        <f>SU_08003</f>
        <v>SU 08003</v>
      </c>
      <c r="D67" s="120" t="s">
        <v>11</v>
      </c>
      <c r="E67" s="120" t="str">
        <f t="shared" si="25"/>
        <v>Rear Bell Cranck</v>
      </c>
      <c r="F67" s="121" t="s">
        <v>441</v>
      </c>
      <c r="G67" s="120"/>
      <c r="H67" s="122">
        <f t="shared" si="24"/>
        <v>3.3779399999999997</v>
      </c>
      <c r="I67" s="126">
        <f>SU_08003_q</f>
        <v>1</v>
      </c>
      <c r="J67" s="123">
        <f>SU_08003_m</f>
        <v>0.81953999999999994</v>
      </c>
      <c r="K67" s="123">
        <f>SU_08003_p</f>
        <v>2.5583999999999998</v>
      </c>
      <c r="L67" s="123">
        <v>0</v>
      </c>
      <c r="M67" s="123">
        <v>0</v>
      </c>
      <c r="N67" s="124">
        <f t="shared" si="21"/>
        <v>3.3779399999999997</v>
      </c>
      <c r="O67" s="125"/>
    </row>
    <row r="68" spans="1:15" ht="14.4" x14ac:dyDescent="0.3">
      <c r="A68" s="112"/>
      <c r="B68" s="706" t="str">
        <f>'SU A0600'!$B$3</f>
        <v>Suspension &amp; Shocks</v>
      </c>
      <c r="C68" s="114" t="str">
        <f>SU_A0900</f>
        <v>SU A0900</v>
      </c>
      <c r="D68" s="114" t="s">
        <v>11</v>
      </c>
      <c r="E68" s="114"/>
      <c r="F68" s="274" t="str">
        <f>'SU A0900'!B4</f>
        <v>Front Pullrod</v>
      </c>
      <c r="G68" s="114"/>
      <c r="H68" s="115">
        <f t="shared" ref="H68:H71" si="26">SUM(J68:M68)</f>
        <v>13.655876325139229</v>
      </c>
      <c r="I68" s="691">
        <f>SU_A0900_q</f>
        <v>2</v>
      </c>
      <c r="J68" s="116">
        <f>SU_A0900_m</f>
        <v>5</v>
      </c>
      <c r="K68" s="116">
        <f>SU_A0900_p</f>
        <v>8.0960000000000001</v>
      </c>
      <c r="L68" s="116">
        <f>SU_A0900_f</f>
        <v>0.55987632513922869</v>
      </c>
      <c r="M68" s="116">
        <v>0</v>
      </c>
      <c r="N68" s="117">
        <f t="shared" ref="N68:N71" si="27">H68*I68</f>
        <v>27.311752650278457</v>
      </c>
      <c r="O68" s="118"/>
    </row>
    <row r="69" spans="1:15" ht="14.4" x14ac:dyDescent="0.3">
      <c r="A69" s="119"/>
      <c r="B69" s="714" t="str">
        <f>'SU A0600'!$B$3</f>
        <v>Suspension &amp; Shocks</v>
      </c>
      <c r="C69" s="794" t="str">
        <f>SU_09001</f>
        <v>SU 09001</v>
      </c>
      <c r="D69" s="120" t="s">
        <v>11</v>
      </c>
      <c r="E69" s="120" t="str">
        <f>$F$68</f>
        <v>Front Pullrod</v>
      </c>
      <c r="F69" s="121" t="str">
        <f>'SU 09001'!B5</f>
        <v>Tie rod tube</v>
      </c>
      <c r="G69" s="120"/>
      <c r="H69" s="122">
        <f t="shared" si="26"/>
        <v>9.0687098494115101</v>
      </c>
      <c r="I69" s="692">
        <f>SU_09001_q</f>
        <v>1</v>
      </c>
      <c r="J69" s="123">
        <f>SU_09001_m</f>
        <v>8.0610754216991207</v>
      </c>
      <c r="K69" s="123">
        <f>SU_09001_p</f>
        <v>1.0076344277123901</v>
      </c>
      <c r="L69" s="123">
        <v>0</v>
      </c>
      <c r="M69" s="123">
        <v>0</v>
      </c>
      <c r="N69" s="124">
        <f t="shared" si="27"/>
        <v>9.0687098494115101</v>
      </c>
      <c r="O69" s="125"/>
    </row>
    <row r="70" spans="1:15" ht="14.4" x14ac:dyDescent="0.3">
      <c r="A70" s="119"/>
      <c r="B70" s="798" t="str">
        <f>'SU A0800'!$B$3</f>
        <v>Suspension &amp; Shocks</v>
      </c>
      <c r="C70" s="794" t="str">
        <f>SU_09002</f>
        <v>SU 09002</v>
      </c>
      <c r="D70" s="120" t="s">
        <v>11</v>
      </c>
      <c r="E70" s="120" t="str">
        <f t="shared" ref="E70:E72" si="28">$F$68</f>
        <v>Front Pullrod</v>
      </c>
      <c r="F70" s="121" t="str">
        <f>'SU 09002'!B5</f>
        <v>Tie rod insert</v>
      </c>
      <c r="G70" s="120"/>
      <c r="H70" s="122">
        <f t="shared" si="26"/>
        <v>1.6908095579918243</v>
      </c>
      <c r="I70" s="126">
        <f>SU_09002_q</f>
        <v>2</v>
      </c>
      <c r="J70" s="123">
        <f>SU_09002_m</f>
        <v>0.15730955799182431</v>
      </c>
      <c r="K70" s="123">
        <f>SU_09002_p</f>
        <v>1.5335000000000001</v>
      </c>
      <c r="L70" s="123">
        <v>0</v>
      </c>
      <c r="M70" s="123">
        <v>0</v>
      </c>
      <c r="N70" s="124">
        <f t="shared" si="27"/>
        <v>3.3816191159836486</v>
      </c>
      <c r="O70" s="125"/>
    </row>
    <row r="71" spans="1:15" ht="14.4" x14ac:dyDescent="0.3">
      <c r="A71" s="119"/>
      <c r="B71" s="798" t="str">
        <f>'SU A0800'!$B$3</f>
        <v>Suspension &amp; Shocks</v>
      </c>
      <c r="C71" s="794" t="str">
        <f>SU_09003</f>
        <v>SU 09003</v>
      </c>
      <c r="D71" s="120" t="s">
        <v>11</v>
      </c>
      <c r="E71" s="120" t="str">
        <f t="shared" si="28"/>
        <v>Front Pullrod</v>
      </c>
      <c r="F71" s="1059" t="str">
        <f>'SU 09003'!B5</f>
        <v>Spacer 1</v>
      </c>
      <c r="G71" s="120"/>
      <c r="H71" s="122">
        <f t="shared" si="26"/>
        <v>0.75842010136988647</v>
      </c>
      <c r="I71" s="126">
        <f>SU_09003_q</f>
        <v>2</v>
      </c>
      <c r="J71" s="123">
        <f>SU_09003_m</f>
        <v>5.6820101369886439E-2</v>
      </c>
      <c r="K71" s="123">
        <f>SU_09003_p</f>
        <v>0.7016</v>
      </c>
      <c r="L71" s="123">
        <v>0</v>
      </c>
      <c r="M71" s="123">
        <v>0</v>
      </c>
      <c r="N71" s="124">
        <f t="shared" si="27"/>
        <v>1.5168402027397729</v>
      </c>
      <c r="O71" s="125"/>
    </row>
    <row r="72" spans="1:15" ht="14.4" x14ac:dyDescent="0.3">
      <c r="A72" s="119"/>
      <c r="B72" s="798" t="str">
        <f>'SU A0800'!$B$3</f>
        <v>Suspension &amp; Shocks</v>
      </c>
      <c r="C72" s="794" t="str">
        <f>SU_09004</f>
        <v>SU 09004</v>
      </c>
      <c r="D72" s="120" t="s">
        <v>11</v>
      </c>
      <c r="E72" s="120" t="str">
        <f t="shared" si="28"/>
        <v>Front Pullrod</v>
      </c>
      <c r="F72" s="1059" t="str">
        <f>'SU 09004'!B5</f>
        <v>Spacer 2</v>
      </c>
      <c r="G72" s="120"/>
      <c r="H72" s="122">
        <f t="shared" ref="H72:H76" si="29">SUM(J72:M72)</f>
        <v>0.85844020273977284</v>
      </c>
      <c r="I72" s="126">
        <f>SU_09004_q</f>
        <v>2</v>
      </c>
      <c r="J72" s="123">
        <f>SU_09004_m</f>
        <v>0.11364020273977288</v>
      </c>
      <c r="K72" s="123">
        <f>SU_09004_p</f>
        <v>0.74480000000000002</v>
      </c>
      <c r="L72" s="123">
        <v>0</v>
      </c>
      <c r="M72" s="123">
        <v>0</v>
      </c>
      <c r="N72" s="124">
        <f t="shared" ref="N72:N76" si="30">H72*I72</f>
        <v>1.7168804054795457</v>
      </c>
      <c r="O72" s="125"/>
    </row>
    <row r="73" spans="1:15" ht="14.4" x14ac:dyDescent="0.3">
      <c r="A73" s="112"/>
      <c r="B73" s="706" t="str">
        <f>'SU A0600'!$B$3</f>
        <v>Suspension &amp; Shocks</v>
      </c>
      <c r="C73" s="114" t="str">
        <f>SU_A1000</f>
        <v>SU A1000</v>
      </c>
      <c r="D73" s="114" t="s">
        <v>11</v>
      </c>
      <c r="E73" s="114"/>
      <c r="F73" s="274" t="str">
        <f>'SU A1000'!B4</f>
        <v>Front Uprights</v>
      </c>
      <c r="G73" s="114"/>
      <c r="H73" s="115">
        <f t="shared" si="29"/>
        <v>19.722085718251193</v>
      </c>
      <c r="I73" s="691">
        <f>SU_A1000_q</f>
        <v>2</v>
      </c>
      <c r="J73" s="116">
        <v>0</v>
      </c>
      <c r="K73" s="116">
        <f>SU_A1000_p</f>
        <v>15.46</v>
      </c>
      <c r="L73" s="116">
        <f>SU_A1000_f</f>
        <v>4.2620857182511926</v>
      </c>
      <c r="M73" s="116">
        <v>0</v>
      </c>
      <c r="N73" s="117">
        <f t="shared" si="30"/>
        <v>39.444171436502387</v>
      </c>
      <c r="O73" s="118"/>
    </row>
    <row r="74" spans="1:15" ht="14.4" x14ac:dyDescent="0.3">
      <c r="A74" s="119"/>
      <c r="B74" s="714" t="str">
        <f>'SU A0600'!$B$3</f>
        <v>Suspension &amp; Shocks</v>
      </c>
      <c r="C74" s="794" t="str">
        <f>SU_10001</f>
        <v>SU 10001</v>
      </c>
      <c r="D74" s="120" t="s">
        <v>11</v>
      </c>
      <c r="E74" s="120" t="str">
        <f>$F$73</f>
        <v>Front Uprights</v>
      </c>
      <c r="F74" s="121" t="str">
        <f>'SU 10001'!B5</f>
        <v>Front Upright</v>
      </c>
      <c r="G74" s="120"/>
      <c r="H74" s="122">
        <f t="shared" si="29"/>
        <v>99.563970000000012</v>
      </c>
      <c r="I74" s="692">
        <f>SU_10001_q</f>
        <v>1</v>
      </c>
      <c r="J74" s="123">
        <f>SU_10001_m</f>
        <v>25.84197</v>
      </c>
      <c r="K74" s="123">
        <f>SU_10001_p</f>
        <v>73.722000000000008</v>
      </c>
      <c r="L74" s="123">
        <v>0</v>
      </c>
      <c r="M74" s="123">
        <v>0</v>
      </c>
      <c r="N74" s="124">
        <f t="shared" si="30"/>
        <v>99.563970000000012</v>
      </c>
      <c r="O74" s="125"/>
    </row>
    <row r="75" spans="1:15" ht="14.4" x14ac:dyDescent="0.3">
      <c r="A75" s="119"/>
      <c r="B75" s="798" t="str">
        <f>'SU A0800'!$B$3</f>
        <v>Suspension &amp; Shocks</v>
      </c>
      <c r="C75" s="794" t="str">
        <f>SU_10002</f>
        <v>SU 10002</v>
      </c>
      <c r="D75" s="120" t="s">
        <v>11</v>
      </c>
      <c r="E75" s="120" t="str">
        <f t="shared" ref="E75:E77" si="31">$F$73</f>
        <v>Front Uprights</v>
      </c>
      <c r="F75" s="121" t="str">
        <f>'SU 10002'!B5</f>
        <v>Upper Arm Wedge</v>
      </c>
      <c r="G75" s="120"/>
      <c r="H75" s="122">
        <f t="shared" si="29"/>
        <v>2.5052785600000003</v>
      </c>
      <c r="I75" s="126">
        <f>SU_10002_q</f>
        <v>1</v>
      </c>
      <c r="J75" s="123">
        <f>SU_10002_m</f>
        <v>0.21527856000000004</v>
      </c>
      <c r="K75" s="123">
        <f>SU_10002_p</f>
        <v>2.29</v>
      </c>
      <c r="L75" s="123">
        <v>0</v>
      </c>
      <c r="M75" s="123">
        <v>0</v>
      </c>
      <c r="N75" s="124">
        <f t="shared" si="30"/>
        <v>2.5052785600000003</v>
      </c>
      <c r="O75" s="125"/>
    </row>
    <row r="76" spans="1:15" ht="14.4" x14ac:dyDescent="0.3">
      <c r="A76" s="119"/>
      <c r="B76" s="798" t="str">
        <f>'SU A0800'!$B$3</f>
        <v>Suspension &amp; Shocks</v>
      </c>
      <c r="C76" s="794" t="str">
        <f>SU_10003</f>
        <v>SU 10003</v>
      </c>
      <c r="D76" s="120" t="s">
        <v>11</v>
      </c>
      <c r="E76" s="120" t="str">
        <f t="shared" si="31"/>
        <v>Front Uprights</v>
      </c>
      <c r="F76" s="1060" t="str">
        <f>'SU 10003'!B5</f>
        <v>Upper Arm Bracket</v>
      </c>
      <c r="G76" s="120"/>
      <c r="H76" s="122">
        <f t="shared" si="29"/>
        <v>18.677843750000001</v>
      </c>
      <c r="I76" s="126">
        <f>SU_10003_q</f>
        <v>1</v>
      </c>
      <c r="J76" s="123">
        <f>SU_10003_m</f>
        <v>2.7818437500000002</v>
      </c>
      <c r="K76" s="123">
        <f>SU_10003_p</f>
        <v>15.896000000000001</v>
      </c>
      <c r="L76" s="123">
        <v>0</v>
      </c>
      <c r="M76" s="123">
        <v>0</v>
      </c>
      <c r="N76" s="124">
        <f t="shared" si="30"/>
        <v>18.677843750000001</v>
      </c>
      <c r="O76" s="125"/>
    </row>
    <row r="77" spans="1:15" ht="14.4" x14ac:dyDescent="0.3">
      <c r="A77" s="119"/>
      <c r="B77" s="798" t="str">
        <f>'SU A0800'!$B$3</f>
        <v>Suspension &amp; Shocks</v>
      </c>
      <c r="C77" s="794" t="str">
        <f>SU_10004</f>
        <v>SU 10004</v>
      </c>
      <c r="D77" s="120" t="s">
        <v>11</v>
      </c>
      <c r="E77" s="120" t="str">
        <f t="shared" si="31"/>
        <v>Front Uprights</v>
      </c>
      <c r="F77" s="1060" t="str">
        <f>'SU 10004'!B5</f>
        <v>Speed Sensor Bracket</v>
      </c>
      <c r="G77" s="120"/>
      <c r="H77" s="122">
        <f t="shared" ref="H77" si="32">SUM(J77:M77)</f>
        <v>0.83572750000000007</v>
      </c>
      <c r="I77" s="126">
        <f>SU_10004_q</f>
        <v>1</v>
      </c>
      <c r="J77" s="123">
        <f>SU_10004_m</f>
        <v>2.4727499999999999E-2</v>
      </c>
      <c r="K77" s="123">
        <f>SU_10004_p</f>
        <v>0.81100000000000005</v>
      </c>
      <c r="L77" s="123">
        <v>0</v>
      </c>
      <c r="M77" s="123">
        <v>0</v>
      </c>
      <c r="N77" s="124">
        <f t="shared" ref="N77" si="33">H77*I77</f>
        <v>0.83572750000000007</v>
      </c>
      <c r="O77" s="125"/>
    </row>
    <row r="78" spans="1:15" ht="14.4" x14ac:dyDescent="0.3">
      <c r="A78" s="119"/>
      <c r="B78" s="798" t="str">
        <f>'SU A0800'!$B$3</f>
        <v>Suspension &amp; Shocks</v>
      </c>
      <c r="C78" s="794" t="str">
        <f>SU_10005</f>
        <v>SU 10005</v>
      </c>
      <c r="D78" s="120" t="s">
        <v>11</v>
      </c>
      <c r="E78" s="120" t="str">
        <f>$F$73</f>
        <v>Front Uprights</v>
      </c>
      <c r="F78" s="1060" t="str">
        <f>'SU 10005'!B5</f>
        <v>Camber adjustment shim</v>
      </c>
      <c r="G78" s="120"/>
      <c r="H78" s="122">
        <f t="shared" ref="H78" si="34">SUM(J78:M78)</f>
        <v>0.42691833333333334</v>
      </c>
      <c r="I78" s="126">
        <f>SU_10005_q</f>
        <v>15</v>
      </c>
      <c r="J78" s="123">
        <f>SU_10005_m</f>
        <v>6.3585000000000003E-2</v>
      </c>
      <c r="K78" s="123">
        <f>SU_10005_p</f>
        <v>0.36333333333333334</v>
      </c>
      <c r="L78" s="123">
        <v>0</v>
      </c>
      <c r="M78" s="123">
        <v>0</v>
      </c>
      <c r="N78" s="124">
        <f t="shared" ref="N78" si="35">H78*I78</f>
        <v>6.4037750000000004</v>
      </c>
      <c r="O78" s="125"/>
    </row>
    <row r="79" spans="1:15" ht="15" customHeight="1" x14ac:dyDescent="0.3">
      <c r="A79" s="119"/>
      <c r="B79" s="119"/>
      <c r="C79" s="120"/>
      <c r="D79" s="120"/>
      <c r="E79" s="120"/>
      <c r="F79" s="121"/>
      <c r="G79" s="120"/>
      <c r="H79" s="122"/>
      <c r="I79" s="126"/>
      <c r="J79" s="123"/>
      <c r="K79" s="123"/>
      <c r="L79" s="123"/>
      <c r="M79" s="123"/>
      <c r="N79" s="124"/>
      <c r="O79" s="125"/>
    </row>
    <row r="80" spans="1:15" ht="14.4" x14ac:dyDescent="0.3">
      <c r="A80" s="112"/>
      <c r="B80" s="112"/>
      <c r="C80" s="114"/>
      <c r="D80" s="114"/>
      <c r="E80" s="114"/>
      <c r="F80" s="274"/>
      <c r="G80" s="114"/>
      <c r="H80" s="115"/>
      <c r="I80" s="151"/>
      <c r="J80" s="116"/>
      <c r="K80" s="116"/>
      <c r="L80" s="116"/>
      <c r="M80" s="116"/>
      <c r="N80" s="117"/>
      <c r="O80" s="118"/>
    </row>
    <row r="81" spans="1:15" ht="15" thickBot="1" x14ac:dyDescent="0.35">
      <c r="A81" s="273"/>
      <c r="B81" s="273" t="s">
        <v>129</v>
      </c>
      <c r="C81" s="266"/>
      <c r="D81" s="266"/>
      <c r="E81" s="266"/>
      <c r="F81" s="267"/>
      <c r="G81" s="266"/>
      <c r="H81" s="268"/>
      <c r="I81" s="269"/>
      <c r="J81" s="270"/>
      <c r="K81" s="270"/>
      <c r="L81" s="270"/>
      <c r="M81" s="270"/>
      <c r="N81" s="271"/>
      <c r="O81" s="272"/>
    </row>
    <row r="82" spans="1:15" s="12" customFormat="1" ht="15" thickTop="1" thickBot="1" x14ac:dyDescent="0.3">
      <c r="A82" s="5"/>
      <c r="B82" s="41" t="str">
        <f>[1]SU_A0200!B3</f>
        <v>Suspension &amp; Shocks</v>
      </c>
      <c r="C82" s="1"/>
      <c r="D82" s="1"/>
      <c r="E82" s="1"/>
      <c r="F82" s="41" t="s">
        <v>59</v>
      </c>
      <c r="G82" s="1"/>
      <c r="H82" s="3"/>
      <c r="I82" s="4"/>
      <c r="J82" s="96">
        <f>SUMPRODUCT($I7:$I79,J7:J79)</f>
        <v>1719.1468900437569</v>
      </c>
      <c r="K82" s="96">
        <f>SUMPRODUCT($I7:$I79,K7:K79)</f>
        <v>569.46962378771264</v>
      </c>
      <c r="L82" s="96">
        <f>SUMPRODUCT($I7:$I79,L7:L79)</f>
        <v>17.852870060551815</v>
      </c>
      <c r="M82" s="96">
        <f>SUMPRODUCT($I7:$I79,M7:M79)</f>
        <v>14.666666666666664</v>
      </c>
      <c r="N82" s="96">
        <f>SUM(N7:N79)</f>
        <v>2321.1360505586877</v>
      </c>
      <c r="O82" s="2"/>
    </row>
    <row r="83" spans="1:15" ht="13.8" thickTop="1" x14ac:dyDescent="0.25">
      <c r="A83" s="11"/>
      <c r="B83" s="42"/>
      <c r="C83" s="13"/>
      <c r="D83" s="13"/>
      <c r="E83" s="13"/>
      <c r="F83" s="13"/>
      <c r="G83" s="13"/>
      <c r="H83" s="8"/>
      <c r="I83" s="13"/>
      <c r="J83" s="13"/>
      <c r="K83" s="13"/>
      <c r="L83" s="13"/>
      <c r="M83" s="13"/>
      <c r="N83" s="13"/>
    </row>
    <row r="84" spans="1:15" x14ac:dyDescent="0.25">
      <c r="A84" s="11"/>
      <c r="B84" s="42"/>
      <c r="C84" s="13"/>
      <c r="D84" s="13"/>
      <c r="E84" s="13"/>
      <c r="F84" s="13"/>
      <c r="G84" s="13"/>
      <c r="H84" s="8"/>
      <c r="I84" s="13"/>
      <c r="J84" s="13"/>
      <c r="K84" s="13"/>
      <c r="L84" s="13"/>
      <c r="M84" s="13"/>
      <c r="N84" s="13"/>
    </row>
    <row r="85" spans="1:15" x14ac:dyDescent="0.25">
      <c r="A85" s="11"/>
      <c r="B85" s="11"/>
      <c r="D85" s="13"/>
      <c r="E85" s="13"/>
      <c r="G85" s="13"/>
      <c r="H85" s="13"/>
      <c r="I85" s="8"/>
      <c r="J85" s="8"/>
      <c r="K85" s="8"/>
      <c r="L85" s="8"/>
      <c r="M85" s="8"/>
      <c r="N85" s="13"/>
    </row>
    <row r="86" spans="1:15" x14ac:dyDescent="0.25">
      <c r="A86" s="11"/>
      <c r="B86" s="11"/>
      <c r="D86" s="13"/>
      <c r="E86" s="13"/>
      <c r="G86" s="13"/>
      <c r="H86" s="13"/>
      <c r="I86" s="8"/>
      <c r="J86" s="8"/>
      <c r="K86" s="8"/>
      <c r="L86" s="8"/>
      <c r="M86" s="8"/>
      <c r="N86" s="45"/>
    </row>
    <row r="87" spans="1:15" x14ac:dyDescent="0.25">
      <c r="A87" s="11"/>
      <c r="B87" s="11"/>
      <c r="D87" s="13"/>
      <c r="E87" s="13"/>
      <c r="G87" s="13"/>
      <c r="H87" s="13"/>
      <c r="I87" s="8"/>
      <c r="J87" s="8"/>
      <c r="K87" s="8"/>
      <c r="L87" s="8"/>
      <c r="M87" s="8"/>
      <c r="N87" s="13"/>
    </row>
    <row r="88" spans="1:15" x14ac:dyDescent="0.25">
      <c r="A88" s="11"/>
      <c r="B88" s="11"/>
      <c r="D88" s="13"/>
      <c r="E88" s="13"/>
      <c r="G88" s="13"/>
      <c r="H88" s="13"/>
      <c r="I88" s="8"/>
      <c r="J88" s="8"/>
      <c r="K88" s="8"/>
      <c r="L88" s="8"/>
      <c r="M88" s="8"/>
      <c r="N88" s="45"/>
    </row>
    <row r="89" spans="1:15" x14ac:dyDescent="0.25">
      <c r="A89" s="11"/>
      <c r="B89" s="11"/>
      <c r="D89" s="13"/>
      <c r="E89" s="13"/>
      <c r="G89" s="13"/>
      <c r="H89" s="13"/>
      <c r="I89" s="8"/>
      <c r="J89" s="8"/>
      <c r="K89" s="8"/>
      <c r="L89" s="8"/>
      <c r="M89" s="8"/>
      <c r="N89" s="13"/>
    </row>
    <row r="90" spans="1:15" x14ac:dyDescent="0.25">
      <c r="A90" s="11"/>
      <c r="B90" s="11"/>
      <c r="D90" s="13"/>
      <c r="E90" s="13"/>
      <c r="G90" s="13"/>
      <c r="H90" s="13"/>
      <c r="I90" s="8"/>
      <c r="J90" s="8"/>
      <c r="K90" s="8"/>
      <c r="L90" s="8"/>
      <c r="M90" s="8"/>
      <c r="N90" s="13"/>
    </row>
    <row r="91" spans="1:15" x14ac:dyDescent="0.25">
      <c r="A91" s="11"/>
      <c r="B91" s="11"/>
      <c r="D91" s="13"/>
      <c r="E91" s="13"/>
      <c r="G91" s="13"/>
      <c r="H91" s="13"/>
      <c r="I91" s="8"/>
      <c r="J91" s="8"/>
      <c r="K91" s="8"/>
      <c r="L91" s="8"/>
      <c r="M91" s="8"/>
      <c r="N91" s="13"/>
    </row>
    <row r="92" spans="1:15" x14ac:dyDescent="0.25">
      <c r="A92" s="11"/>
      <c r="B92" s="11"/>
      <c r="D92" s="13"/>
      <c r="E92" s="13"/>
      <c r="G92" s="13"/>
      <c r="H92" s="13"/>
      <c r="I92" s="8"/>
      <c r="J92" s="8"/>
      <c r="K92" s="8"/>
      <c r="L92" s="8"/>
      <c r="M92" s="8"/>
      <c r="N92" s="13"/>
    </row>
    <row r="93" spans="1:15" x14ac:dyDescent="0.25">
      <c r="A93" s="11"/>
      <c r="B93" s="11"/>
      <c r="D93" s="13"/>
      <c r="E93" s="13"/>
      <c r="G93" s="13"/>
      <c r="H93" s="13"/>
      <c r="I93" s="8"/>
      <c r="J93" s="8"/>
      <c r="K93" s="8"/>
      <c r="L93" s="8"/>
      <c r="M93" s="8"/>
      <c r="N93" s="13"/>
    </row>
    <row r="94" spans="1:15" x14ac:dyDescent="0.25">
      <c r="A94" s="11"/>
      <c r="B94" s="11"/>
      <c r="D94" s="13"/>
      <c r="E94" s="13"/>
      <c r="G94" s="13"/>
      <c r="H94" s="13"/>
      <c r="I94" s="8"/>
      <c r="J94" s="8"/>
      <c r="K94" s="8"/>
      <c r="L94" s="8"/>
      <c r="M94" s="8"/>
      <c r="N94" s="13"/>
    </row>
    <row r="95" spans="1:15" x14ac:dyDescent="0.25">
      <c r="A95" s="11"/>
      <c r="B95" s="11"/>
      <c r="D95" s="13"/>
      <c r="E95" s="13"/>
      <c r="G95" s="13"/>
      <c r="H95" s="13"/>
      <c r="I95" s="8"/>
      <c r="J95" s="8"/>
      <c r="K95" s="8"/>
      <c r="L95" s="8"/>
      <c r="M95" s="8"/>
      <c r="N95" s="13"/>
    </row>
    <row r="96" spans="1:15" x14ac:dyDescent="0.25">
      <c r="A96" s="11"/>
      <c r="B96" s="11"/>
      <c r="D96" s="13"/>
      <c r="E96" s="13"/>
      <c r="G96" s="13"/>
      <c r="H96" s="13"/>
      <c r="I96" s="8"/>
      <c r="J96" s="8"/>
      <c r="K96" s="8"/>
      <c r="L96" s="8"/>
      <c r="M96" s="8"/>
      <c r="N96" s="13"/>
    </row>
    <row r="97" spans="1:14" x14ac:dyDescent="0.25">
      <c r="A97" s="11"/>
      <c r="B97" s="11"/>
      <c r="D97" s="13"/>
      <c r="E97" s="13"/>
      <c r="G97" s="13"/>
      <c r="H97" s="13"/>
      <c r="I97" s="8"/>
      <c r="J97" s="8"/>
      <c r="K97" s="8"/>
      <c r="L97" s="8"/>
      <c r="M97" s="8"/>
      <c r="N97" s="13"/>
    </row>
    <row r="98" spans="1:14" x14ac:dyDescent="0.25">
      <c r="A98" s="11"/>
      <c r="B98" s="11"/>
      <c r="D98" s="13"/>
      <c r="E98" s="13"/>
      <c r="G98" s="13"/>
      <c r="H98" s="13"/>
      <c r="I98" s="8"/>
      <c r="J98" s="8"/>
      <c r="K98" s="8"/>
      <c r="L98" s="8"/>
      <c r="M98" s="8"/>
      <c r="N98" s="13"/>
    </row>
    <row r="99" spans="1:14" x14ac:dyDescent="0.25">
      <c r="A99" s="11"/>
      <c r="B99" s="11"/>
      <c r="D99" s="13"/>
      <c r="E99" s="13"/>
      <c r="G99" s="13"/>
      <c r="H99" s="13"/>
      <c r="I99" s="8"/>
      <c r="J99" s="8"/>
      <c r="K99" s="8"/>
      <c r="L99" s="8"/>
      <c r="M99" s="8"/>
      <c r="N99" s="13"/>
    </row>
    <row r="100" spans="1:14" x14ac:dyDescent="0.25">
      <c r="A100" s="11"/>
      <c r="B100" s="11"/>
      <c r="D100" s="13"/>
      <c r="E100" s="13"/>
      <c r="G100" s="13"/>
      <c r="H100" s="13"/>
      <c r="I100" s="8"/>
      <c r="J100" s="8"/>
      <c r="K100" s="8"/>
      <c r="L100" s="8"/>
      <c r="M100" s="8"/>
      <c r="N100" s="13"/>
    </row>
    <row r="101" spans="1:14" x14ac:dyDescent="0.25">
      <c r="A101" s="11"/>
      <c r="B101" s="11"/>
      <c r="D101" s="13"/>
      <c r="E101" s="13"/>
      <c r="G101" s="13"/>
      <c r="H101" s="13"/>
      <c r="I101" s="8"/>
      <c r="J101" s="8"/>
      <c r="K101" s="8"/>
      <c r="L101" s="8"/>
      <c r="M101" s="8"/>
      <c r="N101" s="13"/>
    </row>
    <row r="102" spans="1:14" x14ac:dyDescent="0.25">
      <c r="A102" s="11"/>
      <c r="B102" s="11"/>
      <c r="D102" s="13"/>
      <c r="E102" s="13"/>
      <c r="G102" s="13"/>
      <c r="H102" s="13"/>
      <c r="I102" s="8"/>
      <c r="J102" s="8"/>
      <c r="K102" s="8"/>
      <c r="L102" s="8"/>
      <c r="M102" s="8"/>
      <c r="N102" s="13"/>
    </row>
    <row r="103" spans="1:14" x14ac:dyDescent="0.25">
      <c r="A103" s="11"/>
      <c r="B103" s="11"/>
      <c r="D103" s="13"/>
      <c r="E103" s="13"/>
      <c r="G103" s="13"/>
      <c r="H103" s="13"/>
      <c r="I103" s="8"/>
      <c r="J103" s="8"/>
      <c r="K103" s="8"/>
      <c r="L103" s="8"/>
      <c r="M103" s="8"/>
      <c r="N103" s="13"/>
    </row>
    <row r="104" spans="1:14" x14ac:dyDescent="0.25">
      <c r="A104" s="11"/>
      <c r="B104" s="11"/>
      <c r="D104" s="13"/>
      <c r="E104" s="13"/>
      <c r="G104" s="13"/>
      <c r="H104" s="13"/>
      <c r="I104" s="8"/>
      <c r="J104" s="8"/>
      <c r="K104" s="8"/>
      <c r="L104" s="8"/>
      <c r="M104" s="8"/>
      <c r="N104" s="13"/>
    </row>
    <row r="105" spans="1:14" x14ac:dyDescent="0.25">
      <c r="A105" s="11"/>
      <c r="B105" s="11"/>
      <c r="D105" s="13"/>
      <c r="E105" s="13"/>
      <c r="G105" s="13"/>
      <c r="H105" s="13"/>
      <c r="I105" s="8"/>
      <c r="J105" s="8"/>
      <c r="K105" s="8"/>
      <c r="L105" s="8"/>
      <c r="M105" s="8"/>
      <c r="N105" s="13"/>
    </row>
    <row r="106" spans="1:14" x14ac:dyDescent="0.25">
      <c r="A106" s="11"/>
      <c r="B106" s="11"/>
      <c r="D106" s="13"/>
      <c r="E106" s="13"/>
      <c r="G106" s="13"/>
      <c r="H106" s="13"/>
      <c r="I106" s="8"/>
      <c r="J106" s="8"/>
      <c r="K106" s="8"/>
      <c r="L106" s="8"/>
      <c r="M106" s="8"/>
      <c r="N106" s="13"/>
    </row>
    <row r="107" spans="1:14" x14ac:dyDescent="0.25">
      <c r="A107" s="11"/>
      <c r="B107" s="11"/>
      <c r="D107" s="13"/>
      <c r="E107" s="13"/>
      <c r="G107" s="13"/>
      <c r="H107" s="13"/>
      <c r="I107" s="8"/>
      <c r="J107" s="8"/>
      <c r="K107" s="8"/>
      <c r="L107" s="8"/>
      <c r="M107" s="8"/>
      <c r="N107" s="13"/>
    </row>
    <row r="108" spans="1:14" x14ac:dyDescent="0.25">
      <c r="A108" s="11"/>
      <c r="B108" s="11"/>
      <c r="D108" s="13"/>
      <c r="E108" s="13"/>
      <c r="G108" s="13"/>
      <c r="H108" s="13"/>
      <c r="I108" s="8"/>
      <c r="J108" s="8"/>
      <c r="K108" s="8"/>
      <c r="L108" s="8"/>
      <c r="M108" s="8"/>
      <c r="N108" s="13"/>
    </row>
    <row r="109" spans="1:14" x14ac:dyDescent="0.25">
      <c r="A109" s="11"/>
      <c r="B109" s="11"/>
      <c r="D109" s="13"/>
      <c r="E109" s="13"/>
      <c r="G109" s="13"/>
      <c r="H109" s="13"/>
      <c r="I109" s="8"/>
      <c r="J109" s="8"/>
      <c r="K109" s="8"/>
      <c r="L109" s="8"/>
      <c r="M109" s="8"/>
      <c r="N109" s="13"/>
    </row>
    <row r="110" spans="1:14" x14ac:dyDescent="0.25">
      <c r="A110" s="11"/>
      <c r="B110" s="11"/>
      <c r="D110" s="13"/>
      <c r="E110" s="13"/>
      <c r="G110" s="13"/>
      <c r="H110" s="13"/>
      <c r="I110" s="8"/>
      <c r="J110" s="8"/>
      <c r="K110" s="8"/>
      <c r="L110" s="8"/>
      <c r="M110" s="8"/>
      <c r="N110" s="13"/>
    </row>
    <row r="111" spans="1:14" x14ac:dyDescent="0.25">
      <c r="A111" s="11"/>
      <c r="B111" s="11"/>
      <c r="D111" s="13"/>
      <c r="E111" s="13"/>
      <c r="G111" s="13"/>
      <c r="H111" s="13"/>
      <c r="I111" s="8"/>
      <c r="J111" s="8"/>
      <c r="K111" s="8"/>
      <c r="L111" s="8"/>
      <c r="M111" s="8"/>
      <c r="N111" s="13"/>
    </row>
    <row r="112" spans="1:14" x14ac:dyDescent="0.25">
      <c r="A112" s="11"/>
      <c r="B112" s="11"/>
      <c r="D112" s="13"/>
      <c r="E112" s="13"/>
      <c r="G112" s="13"/>
      <c r="H112" s="13"/>
      <c r="I112" s="8"/>
      <c r="J112" s="8"/>
      <c r="K112" s="8"/>
      <c r="L112" s="8"/>
      <c r="M112" s="8"/>
      <c r="N112" s="13"/>
    </row>
    <row r="113" spans="1:14" s="9" customFormat="1" x14ac:dyDescent="0.25">
      <c r="A113" s="7"/>
      <c r="B113" s="11"/>
      <c r="F113" s="42"/>
      <c r="I113" s="6"/>
      <c r="J113" s="6"/>
      <c r="K113" s="6"/>
      <c r="L113" s="6"/>
      <c r="M113" s="6"/>
    </row>
    <row r="114" spans="1:14" s="9" customFormat="1" x14ac:dyDescent="0.25">
      <c r="A114" s="7"/>
      <c r="B114" s="11"/>
      <c r="F114" s="42"/>
      <c r="I114" s="6"/>
      <c r="J114" s="6"/>
      <c r="K114" s="6"/>
      <c r="L114" s="6"/>
      <c r="M114" s="6"/>
    </row>
    <row r="115" spans="1:14" s="9" customFormat="1" x14ac:dyDescent="0.25">
      <c r="A115" s="7"/>
      <c r="B115" s="11"/>
      <c r="F115" s="42"/>
      <c r="I115" s="6"/>
      <c r="J115" s="6"/>
      <c r="K115" s="6"/>
      <c r="L115" s="6"/>
      <c r="M115" s="6"/>
    </row>
    <row r="116" spans="1:14" s="9" customFormat="1" x14ac:dyDescent="0.25">
      <c r="A116" s="7"/>
      <c r="B116" s="11"/>
      <c r="F116" s="42"/>
      <c r="I116" s="6"/>
      <c r="J116" s="6"/>
      <c r="K116" s="6"/>
      <c r="L116" s="6"/>
      <c r="M116" s="6"/>
    </row>
    <row r="117" spans="1:14" s="9" customFormat="1" x14ac:dyDescent="0.25">
      <c r="A117" s="7"/>
      <c r="B117" s="11"/>
      <c r="F117" s="42"/>
      <c r="I117" s="6"/>
      <c r="J117" s="6"/>
      <c r="K117" s="6"/>
      <c r="L117" s="6"/>
      <c r="M117" s="6"/>
    </row>
    <row r="118" spans="1:14" s="9" customFormat="1" x14ac:dyDescent="0.25">
      <c r="A118" s="7"/>
      <c r="B118" s="11"/>
      <c r="F118" s="42"/>
      <c r="I118" s="6"/>
      <c r="J118" s="6"/>
      <c r="K118" s="6"/>
      <c r="L118" s="6"/>
      <c r="M118" s="6"/>
    </row>
    <row r="119" spans="1:14" s="9" customFormat="1" x14ac:dyDescent="0.25">
      <c r="A119" s="7"/>
      <c r="B119" s="11"/>
      <c r="F119" s="42"/>
      <c r="I119" s="6"/>
      <c r="J119" s="6"/>
      <c r="K119" s="6"/>
      <c r="L119" s="6"/>
      <c r="M119" s="6"/>
    </row>
    <row r="120" spans="1:14" s="9" customFormat="1" x14ac:dyDescent="0.25">
      <c r="A120" s="7"/>
      <c r="B120" s="11"/>
      <c r="F120" s="42"/>
      <c r="I120" s="6"/>
      <c r="J120" s="6"/>
      <c r="K120" s="6"/>
      <c r="L120" s="6"/>
      <c r="M120" s="6"/>
    </row>
    <row r="121" spans="1:14" s="9" customFormat="1" x14ac:dyDescent="0.25">
      <c r="A121" s="7"/>
      <c r="B121" s="11"/>
      <c r="F121" s="42"/>
      <c r="I121" s="6"/>
      <c r="J121" s="6"/>
      <c r="K121" s="6"/>
      <c r="L121" s="6"/>
      <c r="M121" s="6"/>
    </row>
    <row r="122" spans="1:14" s="9" customFormat="1" x14ac:dyDescent="0.25">
      <c r="A122" s="7"/>
      <c r="B122" s="11"/>
      <c r="F122" s="42"/>
      <c r="I122" s="6"/>
      <c r="J122" s="6"/>
      <c r="K122" s="6"/>
      <c r="L122" s="6"/>
      <c r="M122" s="6"/>
    </row>
    <row r="123" spans="1:14" s="10" customFormat="1" x14ac:dyDescent="0.25">
      <c r="A123" s="7"/>
      <c r="B123" s="11"/>
      <c r="C123" s="9"/>
      <c r="D123" s="9"/>
      <c r="E123" s="9"/>
      <c r="F123" s="42"/>
      <c r="G123" s="9"/>
      <c r="H123" s="9"/>
      <c r="I123" s="6"/>
      <c r="J123" s="6"/>
      <c r="K123" s="6"/>
      <c r="L123" s="6"/>
      <c r="M123" s="6"/>
      <c r="N123" s="9"/>
    </row>
    <row r="124" spans="1:14" s="10" customFormat="1" x14ac:dyDescent="0.25">
      <c r="A124" s="7"/>
      <c r="B124" s="11"/>
      <c r="C124" s="9"/>
      <c r="D124" s="9"/>
      <c r="E124" s="9"/>
      <c r="F124" s="42"/>
      <c r="G124" s="9"/>
      <c r="H124" s="9"/>
      <c r="I124" s="6"/>
      <c r="J124" s="6"/>
      <c r="K124" s="6"/>
      <c r="L124" s="6"/>
      <c r="M124" s="6"/>
      <c r="N124" s="9"/>
    </row>
    <row r="125" spans="1:14" s="10" customFormat="1" x14ac:dyDescent="0.25">
      <c r="A125" s="7"/>
      <c r="B125" s="11"/>
      <c r="C125" s="9"/>
      <c r="D125" s="9"/>
      <c r="E125" s="9"/>
      <c r="F125" s="42"/>
      <c r="G125" s="9"/>
      <c r="H125" s="9"/>
      <c r="I125" s="6"/>
      <c r="J125" s="6"/>
      <c r="K125" s="6"/>
      <c r="L125" s="6"/>
      <c r="M125" s="6"/>
      <c r="N125" s="9"/>
    </row>
    <row r="126" spans="1:14" s="10" customFormat="1" x14ac:dyDescent="0.25">
      <c r="A126" s="7"/>
      <c r="B126" s="11"/>
      <c r="C126" s="9"/>
      <c r="D126" s="9"/>
      <c r="E126" s="9"/>
      <c r="F126" s="42"/>
      <c r="G126" s="9"/>
      <c r="H126" s="9"/>
      <c r="I126" s="6"/>
      <c r="J126" s="6"/>
      <c r="K126" s="6"/>
      <c r="L126" s="6"/>
      <c r="M126" s="6"/>
      <c r="N126" s="9"/>
    </row>
    <row r="127" spans="1:14" s="10" customFormat="1" x14ac:dyDescent="0.25">
      <c r="A127" s="7"/>
      <c r="B127" s="11"/>
      <c r="C127" s="9"/>
      <c r="D127" s="9"/>
      <c r="E127" s="9"/>
      <c r="F127" s="42"/>
      <c r="G127" s="9"/>
      <c r="H127" s="9"/>
      <c r="I127" s="6"/>
      <c r="J127" s="6"/>
      <c r="K127" s="6"/>
      <c r="L127" s="6"/>
      <c r="M127" s="6"/>
      <c r="N127" s="9"/>
    </row>
    <row r="128" spans="1:14" s="10" customFormat="1" x14ac:dyDescent="0.25">
      <c r="A128" s="7"/>
      <c r="B128" s="11"/>
      <c r="C128" s="9"/>
      <c r="D128" s="9"/>
      <c r="E128" s="9"/>
      <c r="F128" s="42"/>
      <c r="G128" s="9"/>
      <c r="H128" s="9"/>
      <c r="I128" s="6"/>
      <c r="J128" s="6"/>
      <c r="K128" s="6"/>
      <c r="L128" s="6"/>
      <c r="M128" s="6"/>
      <c r="N128" s="9"/>
    </row>
    <row r="129" spans="1:14" s="10" customFormat="1" x14ac:dyDescent="0.25">
      <c r="A129" s="7"/>
      <c r="B129" s="11"/>
      <c r="C129" s="9"/>
      <c r="D129" s="9"/>
      <c r="E129" s="9"/>
      <c r="F129" s="42"/>
      <c r="G129" s="9"/>
      <c r="H129" s="9"/>
      <c r="I129" s="6"/>
      <c r="J129" s="6"/>
      <c r="K129" s="6"/>
      <c r="L129" s="6"/>
      <c r="M129" s="6"/>
      <c r="N129" s="9"/>
    </row>
    <row r="130" spans="1:14" s="10" customFormat="1" x14ac:dyDescent="0.25">
      <c r="A130" s="7"/>
      <c r="B130" s="11"/>
      <c r="C130" s="9"/>
      <c r="D130" s="9"/>
      <c r="E130" s="9"/>
      <c r="F130" s="42"/>
      <c r="G130" s="9"/>
      <c r="H130" s="9"/>
      <c r="I130" s="6"/>
      <c r="J130" s="6"/>
      <c r="K130" s="6"/>
      <c r="L130" s="6"/>
      <c r="M130" s="6"/>
      <c r="N130" s="9"/>
    </row>
    <row r="131" spans="1:14" s="10" customFormat="1" x14ac:dyDescent="0.25">
      <c r="A131" s="7"/>
      <c r="B131" s="11"/>
      <c r="C131" s="9"/>
      <c r="D131" s="9"/>
      <c r="E131" s="9"/>
      <c r="F131" s="42"/>
      <c r="G131" s="9"/>
      <c r="H131" s="9"/>
      <c r="I131" s="6"/>
      <c r="J131" s="6"/>
      <c r="K131" s="6"/>
      <c r="L131" s="6"/>
      <c r="M131" s="6"/>
      <c r="N131" s="9"/>
    </row>
    <row r="132" spans="1:14" s="10" customFormat="1" x14ac:dyDescent="0.25">
      <c r="A132" s="7"/>
      <c r="B132" s="11"/>
      <c r="C132" s="9"/>
      <c r="D132" s="9"/>
      <c r="E132" s="9"/>
      <c r="F132" s="42"/>
      <c r="G132" s="9"/>
      <c r="H132" s="9"/>
      <c r="I132" s="6"/>
      <c r="J132" s="6"/>
      <c r="K132" s="6"/>
      <c r="L132" s="6"/>
      <c r="M132" s="6"/>
      <c r="N132" s="9"/>
    </row>
    <row r="133" spans="1:14" s="10" customFormat="1" x14ac:dyDescent="0.25">
      <c r="A133" s="7"/>
      <c r="B133" s="11"/>
      <c r="C133" s="9"/>
      <c r="D133" s="9"/>
      <c r="E133" s="9"/>
      <c r="F133" s="42"/>
      <c r="G133" s="9"/>
      <c r="H133" s="9"/>
      <c r="I133" s="6"/>
      <c r="J133" s="6"/>
      <c r="K133" s="6"/>
      <c r="L133" s="6"/>
      <c r="M133" s="6"/>
      <c r="N133" s="9"/>
    </row>
    <row r="134" spans="1:14" s="10" customFormat="1" x14ac:dyDescent="0.25">
      <c r="A134" s="7"/>
      <c r="B134" s="11"/>
      <c r="C134" s="9"/>
      <c r="D134" s="9"/>
      <c r="E134" s="9"/>
      <c r="F134" s="42"/>
      <c r="G134" s="9"/>
      <c r="H134" s="9"/>
      <c r="I134" s="6"/>
      <c r="J134" s="6"/>
      <c r="K134" s="6"/>
      <c r="L134" s="6"/>
      <c r="M134" s="6"/>
      <c r="N134" s="9"/>
    </row>
    <row r="135" spans="1:14" s="10" customFormat="1" x14ac:dyDescent="0.25">
      <c r="A135" s="7"/>
      <c r="B135" s="11"/>
      <c r="C135" s="9"/>
      <c r="D135" s="9"/>
      <c r="E135" s="9"/>
      <c r="F135" s="42"/>
      <c r="G135" s="9"/>
      <c r="H135" s="9"/>
      <c r="I135" s="6"/>
      <c r="J135" s="6"/>
      <c r="K135" s="6"/>
      <c r="L135" s="6"/>
      <c r="M135" s="6"/>
      <c r="N135" s="9"/>
    </row>
    <row r="136" spans="1:14" s="10" customFormat="1" x14ac:dyDescent="0.25">
      <c r="A136" s="7"/>
      <c r="B136" s="11"/>
      <c r="C136" s="9"/>
      <c r="D136" s="9"/>
      <c r="E136" s="9"/>
      <c r="F136" s="42"/>
      <c r="G136" s="9"/>
      <c r="H136" s="9"/>
      <c r="I136" s="6"/>
      <c r="J136" s="6"/>
      <c r="K136" s="6"/>
      <c r="L136" s="6"/>
      <c r="M136" s="6"/>
      <c r="N136" s="9"/>
    </row>
    <row r="137" spans="1:14" s="10" customFormat="1" x14ac:dyDescent="0.25">
      <c r="A137" s="7"/>
      <c r="B137" s="11"/>
      <c r="C137" s="9"/>
      <c r="D137" s="9"/>
      <c r="E137" s="9"/>
      <c r="F137" s="42"/>
      <c r="G137" s="9"/>
      <c r="H137" s="9"/>
      <c r="I137" s="6"/>
      <c r="J137" s="6"/>
      <c r="K137" s="6"/>
      <c r="L137" s="6"/>
      <c r="M137" s="6"/>
      <c r="N137" s="9"/>
    </row>
    <row r="138" spans="1:14" s="10" customFormat="1" x14ac:dyDescent="0.25">
      <c r="A138" s="7"/>
      <c r="B138" s="11"/>
      <c r="C138" s="9"/>
      <c r="D138" s="9"/>
      <c r="E138" s="9"/>
      <c r="F138" s="42"/>
      <c r="G138" s="9"/>
      <c r="H138" s="9"/>
      <c r="I138" s="6"/>
      <c r="J138" s="6"/>
      <c r="K138" s="6"/>
      <c r="L138" s="6"/>
      <c r="M138" s="6"/>
      <c r="N138" s="9"/>
    </row>
    <row r="139" spans="1:14" s="10" customFormat="1" x14ac:dyDescent="0.25">
      <c r="A139" s="7"/>
      <c r="B139" s="11"/>
      <c r="C139" s="9"/>
      <c r="D139" s="9"/>
      <c r="E139" s="9"/>
      <c r="F139" s="42"/>
      <c r="G139" s="9"/>
      <c r="H139" s="9"/>
      <c r="I139" s="6"/>
      <c r="J139" s="6"/>
      <c r="K139" s="6"/>
      <c r="L139" s="6"/>
      <c r="M139" s="6"/>
      <c r="N139" s="9"/>
    </row>
    <row r="140" spans="1:14" s="10" customFormat="1" x14ac:dyDescent="0.25">
      <c r="A140" s="7"/>
      <c r="B140" s="11"/>
      <c r="C140" s="9"/>
      <c r="D140" s="9"/>
      <c r="E140" s="9"/>
      <c r="F140" s="42"/>
      <c r="G140" s="9"/>
      <c r="H140" s="9"/>
      <c r="I140" s="6"/>
      <c r="J140" s="6"/>
      <c r="K140" s="6"/>
      <c r="L140" s="6"/>
      <c r="M140" s="6"/>
      <c r="N140" s="9"/>
    </row>
    <row r="141" spans="1:14" s="10" customFormat="1" x14ac:dyDescent="0.25">
      <c r="A141" s="7"/>
      <c r="B141" s="11"/>
      <c r="C141" s="9"/>
      <c r="D141" s="9"/>
      <c r="E141" s="9"/>
      <c r="F141" s="42"/>
      <c r="G141" s="9"/>
      <c r="H141" s="9"/>
      <c r="I141" s="6"/>
      <c r="J141" s="6"/>
      <c r="K141" s="6"/>
      <c r="L141" s="6"/>
      <c r="M141" s="6"/>
      <c r="N141" s="9"/>
    </row>
    <row r="142" spans="1:14" s="10" customFormat="1" x14ac:dyDescent="0.25">
      <c r="A142" s="7"/>
      <c r="B142" s="11"/>
      <c r="C142" s="9"/>
      <c r="D142" s="9"/>
      <c r="E142" s="9"/>
      <c r="F142" s="42"/>
      <c r="G142" s="9"/>
      <c r="H142" s="9"/>
      <c r="I142" s="6"/>
      <c r="J142" s="6"/>
      <c r="K142" s="6"/>
      <c r="L142" s="6"/>
      <c r="M142" s="6"/>
      <c r="N142" s="9"/>
    </row>
    <row r="143" spans="1:14" s="10" customFormat="1" x14ac:dyDescent="0.25">
      <c r="A143" s="7"/>
      <c r="B143" s="11"/>
      <c r="C143" s="9"/>
      <c r="D143" s="9"/>
      <c r="E143" s="9"/>
      <c r="F143" s="42"/>
      <c r="G143" s="9"/>
      <c r="H143" s="9"/>
      <c r="I143" s="6"/>
      <c r="J143" s="6"/>
      <c r="K143" s="6"/>
      <c r="L143" s="6"/>
      <c r="M143" s="6"/>
      <c r="N143" s="9"/>
    </row>
    <row r="144" spans="1:14" s="10" customFormat="1" x14ac:dyDescent="0.25">
      <c r="A144" s="7"/>
      <c r="B144" s="11"/>
      <c r="C144" s="9"/>
      <c r="D144" s="9"/>
      <c r="E144" s="9"/>
      <c r="F144" s="42"/>
      <c r="G144" s="9"/>
      <c r="H144" s="9"/>
      <c r="I144" s="6"/>
      <c r="J144" s="6"/>
      <c r="K144" s="6"/>
      <c r="L144" s="6"/>
      <c r="M144" s="6"/>
      <c r="N144" s="9"/>
    </row>
    <row r="145" spans="1:14" s="10" customFormat="1" x14ac:dyDescent="0.25">
      <c r="A145" s="7"/>
      <c r="B145" s="11"/>
      <c r="C145" s="9"/>
      <c r="D145" s="9"/>
      <c r="E145" s="9"/>
      <c r="F145" s="42"/>
      <c r="G145" s="9"/>
      <c r="H145" s="9"/>
      <c r="I145" s="6"/>
      <c r="J145" s="6"/>
      <c r="K145" s="6"/>
      <c r="L145" s="6"/>
      <c r="M145" s="6"/>
      <c r="N145" s="9"/>
    </row>
    <row r="146" spans="1:14" s="10" customFormat="1" x14ac:dyDescent="0.25">
      <c r="A146" s="7"/>
      <c r="B146" s="11"/>
      <c r="C146" s="9"/>
      <c r="D146" s="9"/>
      <c r="E146" s="9"/>
      <c r="F146" s="42"/>
      <c r="G146" s="9"/>
      <c r="H146" s="9"/>
      <c r="I146" s="6"/>
      <c r="J146" s="6"/>
      <c r="K146" s="6"/>
      <c r="L146" s="6"/>
      <c r="M146" s="6"/>
      <c r="N146" s="9"/>
    </row>
    <row r="147" spans="1:14" s="10" customFormat="1" x14ac:dyDescent="0.25">
      <c r="A147" s="7"/>
      <c r="B147" s="11"/>
      <c r="C147" s="9"/>
      <c r="D147" s="9"/>
      <c r="E147" s="9"/>
      <c r="F147" s="42"/>
      <c r="G147" s="9"/>
      <c r="H147" s="9"/>
      <c r="I147" s="6"/>
      <c r="J147" s="6"/>
      <c r="K147" s="6"/>
      <c r="L147" s="6"/>
      <c r="M147" s="6"/>
      <c r="N147" s="9"/>
    </row>
    <row r="148" spans="1:14" s="10" customFormat="1" x14ac:dyDescent="0.25">
      <c r="A148" s="7"/>
      <c r="B148" s="11"/>
      <c r="C148" s="9"/>
      <c r="D148" s="9"/>
      <c r="E148" s="9"/>
      <c r="F148" s="42"/>
      <c r="G148" s="9"/>
      <c r="H148" s="9"/>
      <c r="I148" s="6"/>
      <c r="J148" s="6"/>
      <c r="K148" s="6"/>
      <c r="L148" s="6"/>
      <c r="M148" s="6"/>
      <c r="N148" s="9"/>
    </row>
    <row r="149" spans="1:14" s="10" customFormat="1" x14ac:dyDescent="0.25">
      <c r="A149" s="7"/>
      <c r="B149" s="11"/>
      <c r="C149" s="9"/>
      <c r="D149" s="9"/>
      <c r="E149" s="9"/>
      <c r="F149" s="42"/>
      <c r="G149" s="9"/>
      <c r="H149" s="9"/>
      <c r="I149" s="6"/>
      <c r="J149" s="6"/>
      <c r="K149" s="6"/>
      <c r="L149" s="6"/>
      <c r="M149" s="6"/>
      <c r="N149" s="9"/>
    </row>
    <row r="150" spans="1:14" s="10" customFormat="1" x14ac:dyDescent="0.25">
      <c r="A150" s="7"/>
      <c r="B150" s="11"/>
      <c r="C150" s="9"/>
      <c r="D150" s="9"/>
      <c r="E150" s="9"/>
      <c r="F150" s="42"/>
      <c r="G150" s="9"/>
      <c r="H150" s="9"/>
      <c r="I150" s="6"/>
      <c r="J150" s="6"/>
      <c r="K150" s="6"/>
      <c r="L150" s="6"/>
      <c r="M150" s="6"/>
      <c r="N150" s="9"/>
    </row>
    <row r="151" spans="1:14" s="10" customFormat="1" x14ac:dyDescent="0.25">
      <c r="A151" s="7"/>
      <c r="B151" s="11"/>
      <c r="C151" s="9"/>
      <c r="D151" s="9"/>
      <c r="E151" s="9"/>
      <c r="F151" s="42"/>
      <c r="G151" s="9"/>
      <c r="H151" s="9"/>
      <c r="I151" s="6"/>
      <c r="J151" s="6"/>
      <c r="K151" s="6"/>
      <c r="L151" s="6"/>
      <c r="M151" s="6"/>
      <c r="N151" s="9"/>
    </row>
    <row r="152" spans="1:14" s="10" customFormat="1" x14ac:dyDescent="0.25">
      <c r="A152" s="7"/>
      <c r="B152" s="11"/>
      <c r="C152" s="9"/>
      <c r="D152" s="9"/>
      <c r="E152" s="9"/>
      <c r="F152" s="42"/>
      <c r="G152" s="9"/>
      <c r="H152" s="9"/>
      <c r="I152" s="6"/>
      <c r="J152" s="6"/>
      <c r="K152" s="6"/>
      <c r="L152" s="6"/>
      <c r="M152" s="6"/>
      <c r="N152" s="9"/>
    </row>
    <row r="153" spans="1:14" s="10" customFormat="1" x14ac:dyDescent="0.25">
      <c r="A153" s="7"/>
      <c r="B153" s="11"/>
      <c r="C153" s="9"/>
      <c r="D153" s="9"/>
      <c r="E153" s="9"/>
      <c r="F153" s="42"/>
      <c r="G153" s="9"/>
      <c r="H153" s="9"/>
      <c r="I153" s="6"/>
      <c r="J153" s="6"/>
      <c r="K153" s="6"/>
      <c r="L153" s="6"/>
      <c r="M153" s="6"/>
      <c r="N153" s="9"/>
    </row>
    <row r="154" spans="1:14" s="10" customFormat="1" x14ac:dyDescent="0.25">
      <c r="A154" s="7"/>
      <c r="B154" s="11"/>
      <c r="C154" s="9"/>
      <c r="D154" s="9"/>
      <c r="E154" s="9"/>
      <c r="F154" s="42"/>
      <c r="G154" s="9"/>
      <c r="H154" s="9"/>
      <c r="I154" s="6"/>
      <c r="J154" s="6"/>
      <c r="K154" s="6"/>
      <c r="L154" s="6"/>
      <c r="M154" s="6"/>
      <c r="N154" s="9"/>
    </row>
    <row r="155" spans="1:14" s="10" customFormat="1" x14ac:dyDescent="0.25">
      <c r="A155" s="7"/>
      <c r="B155" s="11"/>
      <c r="C155" s="9"/>
      <c r="D155" s="9"/>
      <c r="E155" s="9"/>
      <c r="F155" s="42"/>
      <c r="G155" s="9"/>
      <c r="H155" s="9"/>
      <c r="I155" s="6"/>
      <c r="J155" s="6"/>
      <c r="K155" s="6"/>
      <c r="L155" s="6"/>
      <c r="M155" s="6"/>
      <c r="N155" s="9"/>
    </row>
    <row r="156" spans="1:14" s="10" customFormat="1" x14ac:dyDescent="0.25">
      <c r="A156" s="7"/>
      <c r="B156" s="11"/>
      <c r="C156" s="9"/>
      <c r="D156" s="9"/>
      <c r="E156" s="9"/>
      <c r="F156" s="42"/>
      <c r="G156" s="9"/>
      <c r="H156" s="9"/>
      <c r="I156" s="6"/>
      <c r="J156" s="6"/>
      <c r="K156" s="6"/>
      <c r="L156" s="6"/>
      <c r="M156" s="6"/>
      <c r="N156" s="9"/>
    </row>
    <row r="157" spans="1:14" s="10" customFormat="1" x14ac:dyDescent="0.25">
      <c r="A157" s="7"/>
      <c r="B157" s="11"/>
      <c r="C157" s="9"/>
      <c r="D157" s="9"/>
      <c r="E157" s="9"/>
      <c r="F157" s="42"/>
      <c r="G157" s="9"/>
      <c r="H157" s="9"/>
      <c r="I157" s="6"/>
      <c r="J157" s="6"/>
      <c r="K157" s="6"/>
      <c r="L157" s="6"/>
      <c r="M157" s="6"/>
      <c r="N157" s="9"/>
    </row>
    <row r="158" spans="1:14" s="10" customFormat="1" x14ac:dyDescent="0.25">
      <c r="A158" s="7"/>
      <c r="B158" s="11"/>
      <c r="C158" s="9"/>
      <c r="D158" s="9"/>
      <c r="E158" s="9"/>
      <c r="F158" s="42"/>
      <c r="G158" s="9"/>
      <c r="H158" s="9"/>
      <c r="I158" s="6"/>
      <c r="J158" s="6"/>
      <c r="K158" s="6"/>
      <c r="L158" s="6"/>
      <c r="M158" s="6"/>
      <c r="N158" s="9"/>
    </row>
    <row r="159" spans="1:14" s="10" customFormat="1" x14ac:dyDescent="0.25">
      <c r="A159" s="7"/>
      <c r="B159" s="11"/>
      <c r="C159" s="9"/>
      <c r="D159" s="9"/>
      <c r="E159" s="9"/>
      <c r="F159" s="42"/>
      <c r="G159" s="9"/>
      <c r="H159" s="9"/>
      <c r="I159" s="6"/>
      <c r="J159" s="6"/>
      <c r="K159" s="6"/>
      <c r="L159" s="6"/>
      <c r="M159" s="6"/>
      <c r="N159" s="9"/>
    </row>
    <row r="160" spans="1:14" s="10" customFormat="1" x14ac:dyDescent="0.25">
      <c r="A160" s="7"/>
      <c r="B160" s="11"/>
      <c r="C160" s="9"/>
      <c r="D160" s="9"/>
      <c r="E160" s="9"/>
      <c r="F160" s="42"/>
      <c r="G160" s="9"/>
      <c r="H160" s="9"/>
      <c r="I160" s="6"/>
      <c r="J160" s="6"/>
      <c r="K160" s="6"/>
      <c r="L160" s="6"/>
      <c r="M160" s="6"/>
      <c r="N160" s="9"/>
    </row>
    <row r="161" spans="1:14" s="10" customFormat="1" x14ac:dyDescent="0.25">
      <c r="A161" s="7"/>
      <c r="B161" s="11"/>
      <c r="C161" s="9"/>
      <c r="D161" s="9"/>
      <c r="E161" s="9"/>
      <c r="F161" s="42"/>
      <c r="G161" s="9"/>
      <c r="H161" s="9"/>
      <c r="I161" s="6"/>
      <c r="J161" s="6"/>
      <c r="K161" s="6"/>
      <c r="L161" s="6"/>
      <c r="M161" s="6"/>
      <c r="N161" s="9"/>
    </row>
    <row r="162" spans="1:14" s="10" customFormat="1" x14ac:dyDescent="0.25">
      <c r="A162" s="7"/>
      <c r="B162" s="11"/>
      <c r="C162" s="9"/>
      <c r="D162" s="9"/>
      <c r="E162" s="9"/>
      <c r="F162" s="42"/>
      <c r="G162" s="9"/>
      <c r="H162" s="9"/>
      <c r="I162" s="6"/>
      <c r="J162" s="6"/>
      <c r="K162" s="6"/>
      <c r="L162" s="6"/>
      <c r="M162" s="6"/>
      <c r="N162" s="9"/>
    </row>
    <row r="163" spans="1:14" s="10" customFormat="1" x14ac:dyDescent="0.25">
      <c r="A163" s="7"/>
      <c r="B163" s="11"/>
      <c r="C163" s="9"/>
      <c r="D163" s="9"/>
      <c r="E163" s="9"/>
      <c r="F163" s="42"/>
      <c r="G163" s="9"/>
      <c r="H163" s="9"/>
      <c r="I163" s="6"/>
      <c r="J163" s="6"/>
      <c r="K163" s="6"/>
      <c r="L163" s="6"/>
      <c r="M163" s="6"/>
      <c r="N163" s="9"/>
    </row>
    <row r="164" spans="1:14" s="10" customFormat="1" x14ac:dyDescent="0.25">
      <c r="A164" s="7"/>
      <c r="B164" s="11"/>
      <c r="C164" s="9"/>
      <c r="D164" s="9"/>
      <c r="E164" s="9"/>
      <c r="F164" s="42"/>
      <c r="G164" s="9"/>
      <c r="H164" s="9"/>
      <c r="I164" s="6"/>
      <c r="J164" s="6"/>
      <c r="K164" s="6"/>
      <c r="L164" s="6"/>
      <c r="M164" s="6"/>
      <c r="N164" s="9"/>
    </row>
    <row r="165" spans="1:14" s="10" customFormat="1" x14ac:dyDescent="0.25">
      <c r="A165" s="7"/>
      <c r="B165" s="11"/>
      <c r="C165" s="9"/>
      <c r="D165" s="9"/>
      <c r="E165" s="9"/>
      <c r="F165" s="42"/>
      <c r="G165" s="9"/>
      <c r="H165" s="9"/>
      <c r="I165" s="6"/>
      <c r="J165" s="6"/>
      <c r="K165" s="6"/>
      <c r="L165" s="6"/>
      <c r="M165" s="6"/>
      <c r="N165" s="9"/>
    </row>
    <row r="166" spans="1:14" s="10" customFormat="1" x14ac:dyDescent="0.25">
      <c r="A166" s="7"/>
      <c r="B166" s="11"/>
      <c r="C166" s="9"/>
      <c r="D166" s="9"/>
      <c r="E166" s="9"/>
      <c r="F166" s="42"/>
      <c r="G166" s="9"/>
      <c r="H166" s="9"/>
      <c r="I166" s="6"/>
      <c r="J166" s="6"/>
      <c r="K166" s="6"/>
      <c r="L166" s="6"/>
      <c r="M166" s="6"/>
      <c r="N166" s="9"/>
    </row>
    <row r="167" spans="1:14" s="10" customFormat="1" x14ac:dyDescent="0.25">
      <c r="A167" s="7"/>
      <c r="B167" s="11"/>
      <c r="C167" s="9"/>
      <c r="D167" s="9"/>
      <c r="E167" s="9"/>
      <c r="F167" s="42"/>
      <c r="G167" s="9"/>
      <c r="H167" s="9"/>
      <c r="I167" s="6"/>
      <c r="J167" s="6"/>
      <c r="K167" s="6"/>
      <c r="L167" s="6"/>
      <c r="M167" s="6"/>
      <c r="N167" s="9"/>
    </row>
    <row r="168" spans="1:14" s="10" customFormat="1" x14ac:dyDescent="0.25">
      <c r="A168" s="7"/>
      <c r="B168" s="11"/>
      <c r="C168" s="9"/>
      <c r="D168" s="9"/>
      <c r="E168" s="9"/>
      <c r="F168" s="42"/>
      <c r="G168" s="9"/>
      <c r="H168" s="9"/>
      <c r="I168" s="6"/>
      <c r="J168" s="6"/>
      <c r="K168" s="6"/>
      <c r="L168" s="6"/>
      <c r="M168" s="6"/>
      <c r="N168" s="9"/>
    </row>
    <row r="169" spans="1:14" s="10" customFormat="1" x14ac:dyDescent="0.25">
      <c r="A169" s="7"/>
      <c r="B169" s="11"/>
      <c r="C169" s="9"/>
      <c r="D169" s="9"/>
      <c r="E169" s="9"/>
      <c r="F169" s="42"/>
      <c r="G169" s="9"/>
      <c r="H169" s="9"/>
      <c r="I169" s="6"/>
      <c r="J169" s="6"/>
      <c r="K169" s="6"/>
      <c r="L169" s="6"/>
      <c r="M169" s="6"/>
      <c r="N169" s="9"/>
    </row>
    <row r="170" spans="1:14" s="10" customFormat="1" x14ac:dyDescent="0.25">
      <c r="A170" s="7"/>
      <c r="B170" s="11"/>
      <c r="C170" s="9"/>
      <c r="D170" s="9"/>
      <c r="E170" s="9"/>
      <c r="F170" s="42"/>
      <c r="G170" s="9"/>
      <c r="H170" s="9"/>
      <c r="I170" s="6"/>
      <c r="J170" s="6"/>
      <c r="K170" s="6"/>
      <c r="L170" s="6"/>
      <c r="M170" s="6"/>
      <c r="N170" s="9"/>
    </row>
    <row r="171" spans="1:14" s="10" customFormat="1" x14ac:dyDescent="0.25">
      <c r="A171" s="7"/>
      <c r="B171" s="11"/>
      <c r="C171" s="9"/>
      <c r="D171" s="9"/>
      <c r="E171" s="9"/>
      <c r="F171" s="42"/>
      <c r="G171" s="9"/>
      <c r="H171" s="9"/>
      <c r="I171" s="6"/>
      <c r="J171" s="6"/>
      <c r="K171" s="6"/>
      <c r="L171" s="6"/>
      <c r="M171" s="6"/>
      <c r="N171" s="9"/>
    </row>
    <row r="172" spans="1:14" s="10" customFormat="1" x14ac:dyDescent="0.25">
      <c r="A172" s="7"/>
      <c r="B172" s="11"/>
      <c r="C172" s="9"/>
      <c r="D172" s="9"/>
      <c r="E172" s="9"/>
      <c r="F172" s="42"/>
      <c r="G172" s="9"/>
      <c r="H172" s="9"/>
      <c r="I172" s="6"/>
      <c r="J172" s="6"/>
      <c r="K172" s="6"/>
      <c r="L172" s="6"/>
      <c r="M172" s="6"/>
      <c r="N172" s="9"/>
    </row>
    <row r="173" spans="1:14" s="10" customFormat="1" x14ac:dyDescent="0.25">
      <c r="A173" s="7"/>
      <c r="B173" s="11"/>
      <c r="C173" s="9"/>
      <c r="D173" s="9"/>
      <c r="E173" s="9"/>
      <c r="F173" s="42"/>
      <c r="G173" s="9"/>
      <c r="H173" s="9"/>
      <c r="I173" s="6"/>
      <c r="J173" s="6"/>
      <c r="K173" s="6"/>
      <c r="L173" s="6"/>
      <c r="M173" s="6"/>
      <c r="N173" s="9"/>
    </row>
    <row r="174" spans="1:14" s="10" customFormat="1" x14ac:dyDescent="0.25">
      <c r="A174" s="7"/>
      <c r="B174" s="11"/>
      <c r="C174" s="9"/>
      <c r="D174" s="9"/>
      <c r="E174" s="9"/>
      <c r="F174" s="42"/>
      <c r="G174" s="9"/>
      <c r="H174" s="9"/>
      <c r="I174" s="6"/>
      <c r="J174" s="6"/>
      <c r="K174" s="6"/>
      <c r="L174" s="6"/>
      <c r="M174" s="6"/>
      <c r="N174" s="9"/>
    </row>
    <row r="175" spans="1:14" s="10" customFormat="1" x14ac:dyDescent="0.25">
      <c r="A175" s="7"/>
      <c r="B175" s="11"/>
      <c r="C175" s="9"/>
      <c r="D175" s="9"/>
      <c r="E175" s="9"/>
      <c r="F175" s="42"/>
      <c r="G175" s="9"/>
      <c r="H175" s="9"/>
      <c r="I175" s="6"/>
      <c r="J175" s="6"/>
      <c r="K175" s="6"/>
      <c r="L175" s="6"/>
      <c r="M175" s="6"/>
      <c r="N175" s="9"/>
    </row>
    <row r="176" spans="1:14" s="10" customFormat="1" x14ac:dyDescent="0.25">
      <c r="A176" s="7"/>
      <c r="B176" s="11"/>
      <c r="C176" s="9"/>
      <c r="D176" s="9"/>
      <c r="E176" s="9"/>
      <c r="F176" s="42"/>
      <c r="G176" s="9"/>
      <c r="H176" s="9"/>
      <c r="I176" s="6"/>
      <c r="J176" s="6"/>
      <c r="K176" s="6"/>
      <c r="L176" s="6"/>
      <c r="M176" s="6"/>
      <c r="N176" s="9"/>
    </row>
    <row r="177" spans="1:14" s="10" customFormat="1" x14ac:dyDescent="0.25">
      <c r="A177" s="7"/>
      <c r="B177" s="11"/>
      <c r="C177" s="9"/>
      <c r="D177" s="9"/>
      <c r="E177" s="9"/>
      <c r="F177" s="42"/>
      <c r="G177" s="9"/>
      <c r="H177" s="9"/>
      <c r="I177" s="6"/>
      <c r="J177" s="6"/>
      <c r="K177" s="6"/>
      <c r="L177" s="6"/>
      <c r="M177" s="6"/>
      <c r="N177" s="9"/>
    </row>
    <row r="178" spans="1:14" s="10" customFormat="1" x14ac:dyDescent="0.25">
      <c r="A178" s="7"/>
      <c r="B178" s="11"/>
      <c r="C178" s="9"/>
      <c r="D178" s="9"/>
      <c r="E178" s="9"/>
      <c r="F178" s="42"/>
      <c r="G178" s="9"/>
      <c r="H178" s="9"/>
      <c r="I178" s="6"/>
      <c r="J178" s="6"/>
      <c r="K178" s="6"/>
      <c r="L178" s="6"/>
      <c r="M178" s="6"/>
      <c r="N178" s="9"/>
    </row>
    <row r="179" spans="1:14" s="10" customFormat="1" x14ac:dyDescent="0.25">
      <c r="A179" s="7"/>
      <c r="B179" s="11"/>
      <c r="C179" s="9"/>
      <c r="D179" s="9"/>
      <c r="E179" s="9"/>
      <c r="F179" s="42"/>
      <c r="G179" s="9"/>
      <c r="H179" s="9"/>
      <c r="I179" s="6"/>
      <c r="J179" s="6"/>
      <c r="K179" s="6"/>
      <c r="L179" s="6"/>
      <c r="M179" s="6"/>
      <c r="N179" s="9"/>
    </row>
    <row r="180" spans="1:14" s="10" customFormat="1" x14ac:dyDescent="0.25">
      <c r="A180" s="7"/>
      <c r="B180" s="11"/>
      <c r="C180" s="9"/>
      <c r="D180" s="9"/>
      <c r="E180" s="9"/>
      <c r="F180" s="42"/>
      <c r="G180" s="9"/>
      <c r="H180" s="9"/>
      <c r="I180" s="6"/>
      <c r="J180" s="6"/>
      <c r="K180" s="6"/>
      <c r="L180" s="6"/>
      <c r="M180" s="6"/>
      <c r="N180" s="9"/>
    </row>
    <row r="181" spans="1:14" s="10" customFormat="1" x14ac:dyDescent="0.25">
      <c r="A181" s="7"/>
      <c r="B181" s="11"/>
      <c r="C181" s="9"/>
      <c r="D181" s="9"/>
      <c r="E181" s="9"/>
      <c r="F181" s="42"/>
      <c r="G181" s="9"/>
      <c r="H181" s="9"/>
      <c r="I181" s="6"/>
      <c r="J181" s="6"/>
      <c r="K181" s="6"/>
      <c r="L181" s="6"/>
      <c r="M181" s="6"/>
      <c r="N181" s="9"/>
    </row>
    <row r="182" spans="1:14" s="10" customFormat="1" x14ac:dyDescent="0.25">
      <c r="A182" s="7"/>
      <c r="B182" s="11"/>
      <c r="C182" s="9"/>
      <c r="D182" s="9"/>
      <c r="E182" s="9"/>
      <c r="F182" s="42"/>
      <c r="G182" s="9"/>
      <c r="H182" s="9"/>
      <c r="I182" s="6"/>
      <c r="J182" s="6"/>
      <c r="K182" s="6"/>
      <c r="L182" s="6"/>
      <c r="M182" s="6"/>
      <c r="N182" s="9"/>
    </row>
    <row r="183" spans="1:14" s="10" customFormat="1" x14ac:dyDescent="0.25">
      <c r="A183" s="7"/>
      <c r="B183" s="11"/>
      <c r="C183" s="9"/>
      <c r="D183" s="9"/>
      <c r="E183" s="9"/>
      <c r="F183" s="42"/>
      <c r="G183" s="9"/>
      <c r="H183" s="9"/>
      <c r="I183" s="6"/>
      <c r="J183" s="6"/>
      <c r="K183" s="6"/>
      <c r="L183" s="6"/>
      <c r="M183" s="6"/>
      <c r="N183" s="9"/>
    </row>
    <row r="184" spans="1:14" s="10" customFormat="1" x14ac:dyDescent="0.25">
      <c r="A184" s="7"/>
      <c r="B184" s="11"/>
      <c r="C184" s="9"/>
      <c r="D184" s="9"/>
      <c r="E184" s="9"/>
      <c r="F184" s="42"/>
      <c r="G184" s="9"/>
      <c r="H184" s="9"/>
      <c r="I184" s="6"/>
      <c r="J184" s="6"/>
      <c r="K184" s="6"/>
      <c r="L184" s="6"/>
      <c r="M184" s="6"/>
      <c r="N184" s="9"/>
    </row>
    <row r="185" spans="1:14" s="10" customFormat="1" x14ac:dyDescent="0.25">
      <c r="A185" s="7"/>
      <c r="B185" s="11"/>
      <c r="C185" s="9"/>
      <c r="D185" s="9"/>
      <c r="E185" s="9"/>
      <c r="F185" s="42"/>
      <c r="G185" s="9"/>
      <c r="H185" s="9"/>
      <c r="I185" s="6"/>
      <c r="J185" s="6"/>
      <c r="K185" s="6"/>
      <c r="L185" s="6"/>
      <c r="M185" s="6"/>
      <c r="N185" s="9"/>
    </row>
    <row r="186" spans="1:14" s="10" customFormat="1" x14ac:dyDescent="0.25">
      <c r="A186" s="7"/>
      <c r="B186" s="11"/>
      <c r="C186" s="9"/>
      <c r="D186" s="9"/>
      <c r="E186" s="9"/>
      <c r="F186" s="42"/>
      <c r="G186" s="9"/>
      <c r="H186" s="9"/>
      <c r="I186" s="6"/>
      <c r="J186" s="6"/>
      <c r="K186" s="6"/>
      <c r="L186" s="6"/>
      <c r="M186" s="6"/>
      <c r="N186" s="9"/>
    </row>
    <row r="187" spans="1:14" s="10" customFormat="1" x14ac:dyDescent="0.25">
      <c r="A187" s="7"/>
      <c r="B187" s="11"/>
      <c r="C187" s="9"/>
      <c r="D187" s="9"/>
      <c r="E187" s="9"/>
      <c r="F187" s="42"/>
      <c r="G187" s="9"/>
      <c r="H187" s="9"/>
      <c r="I187" s="6"/>
      <c r="J187" s="6"/>
      <c r="K187" s="6"/>
      <c r="L187" s="6"/>
      <c r="M187" s="6"/>
      <c r="N187" s="9"/>
    </row>
    <row r="188" spans="1:14" s="10" customFormat="1" x14ac:dyDescent="0.25">
      <c r="A188" s="7"/>
      <c r="B188" s="11"/>
      <c r="C188" s="9"/>
      <c r="D188" s="9"/>
      <c r="E188" s="9"/>
      <c r="F188" s="42"/>
      <c r="G188" s="9"/>
      <c r="H188" s="9"/>
      <c r="I188" s="6"/>
      <c r="J188" s="6"/>
      <c r="K188" s="6"/>
      <c r="L188" s="6"/>
      <c r="M188" s="6"/>
      <c r="N188" s="9"/>
    </row>
    <row r="189" spans="1:14" s="10" customFormat="1" x14ac:dyDescent="0.25">
      <c r="A189" s="7"/>
      <c r="B189" s="11"/>
      <c r="C189" s="9"/>
      <c r="D189" s="9"/>
      <c r="E189" s="9"/>
      <c r="F189" s="42"/>
      <c r="G189" s="9"/>
      <c r="H189" s="9"/>
      <c r="I189" s="6"/>
      <c r="J189" s="6"/>
      <c r="K189" s="6"/>
      <c r="L189" s="6"/>
      <c r="M189" s="6"/>
      <c r="N189" s="9"/>
    </row>
    <row r="190" spans="1:14" s="10" customFormat="1" x14ac:dyDescent="0.25">
      <c r="A190" s="7"/>
      <c r="B190" s="11"/>
      <c r="C190" s="9"/>
      <c r="D190" s="9"/>
      <c r="E190" s="9"/>
      <c r="F190" s="42"/>
      <c r="G190" s="9"/>
      <c r="H190" s="9"/>
      <c r="I190" s="6"/>
      <c r="J190" s="6"/>
      <c r="K190" s="6"/>
      <c r="L190" s="6"/>
      <c r="M190" s="6"/>
      <c r="N190" s="9"/>
    </row>
    <row r="191" spans="1:14" s="10" customFormat="1" x14ac:dyDescent="0.25">
      <c r="A191" s="7"/>
      <c r="B191" s="11"/>
      <c r="C191" s="9"/>
      <c r="D191" s="9"/>
      <c r="E191" s="9"/>
      <c r="F191" s="42"/>
      <c r="G191" s="9"/>
      <c r="H191" s="9"/>
      <c r="I191" s="6"/>
      <c r="J191" s="6"/>
      <c r="K191" s="6"/>
      <c r="L191" s="6"/>
      <c r="M191" s="6"/>
      <c r="N191" s="9"/>
    </row>
    <row r="192" spans="1:14" s="10" customFormat="1" x14ac:dyDescent="0.25">
      <c r="A192" s="7"/>
      <c r="B192" s="11"/>
      <c r="C192" s="9"/>
      <c r="D192" s="9"/>
      <c r="E192" s="9"/>
      <c r="F192" s="42"/>
      <c r="G192" s="9"/>
      <c r="H192" s="9"/>
      <c r="I192" s="6"/>
      <c r="J192" s="6"/>
      <c r="K192" s="6"/>
      <c r="L192" s="6"/>
      <c r="M192" s="6"/>
      <c r="N192" s="9"/>
    </row>
    <row r="193" spans="1:14" s="10" customFormat="1" x14ac:dyDescent="0.25">
      <c r="A193" s="7"/>
      <c r="B193" s="11"/>
      <c r="C193" s="9"/>
      <c r="D193" s="9"/>
      <c r="E193" s="9"/>
      <c r="F193" s="42"/>
      <c r="G193" s="9"/>
      <c r="H193" s="9"/>
      <c r="I193" s="6"/>
      <c r="J193" s="6"/>
      <c r="K193" s="6"/>
      <c r="L193" s="6"/>
      <c r="M193" s="6"/>
      <c r="N193" s="9"/>
    </row>
    <row r="194" spans="1:14" s="10" customFormat="1" x14ac:dyDescent="0.25">
      <c r="A194" s="7"/>
      <c r="B194" s="11"/>
      <c r="C194" s="9"/>
      <c r="D194" s="9"/>
      <c r="E194" s="9"/>
      <c r="F194" s="42"/>
      <c r="G194" s="9"/>
      <c r="H194" s="9"/>
      <c r="I194" s="6"/>
      <c r="J194" s="6"/>
      <c r="K194" s="6"/>
      <c r="L194" s="6"/>
      <c r="M194" s="6"/>
      <c r="N194" s="9"/>
    </row>
    <row r="195" spans="1:14" s="10" customFormat="1" x14ac:dyDescent="0.25">
      <c r="A195" s="7"/>
      <c r="B195" s="11"/>
      <c r="C195" s="9"/>
      <c r="D195" s="9"/>
      <c r="E195" s="9"/>
      <c r="F195" s="42"/>
      <c r="G195" s="9"/>
      <c r="H195" s="9"/>
      <c r="I195" s="6"/>
      <c r="J195" s="6"/>
      <c r="K195" s="6"/>
      <c r="L195" s="6"/>
      <c r="M195" s="6"/>
      <c r="N195" s="9"/>
    </row>
    <row r="196" spans="1:14" s="10" customFormat="1" x14ac:dyDescent="0.25">
      <c r="A196" s="7"/>
      <c r="B196" s="11"/>
      <c r="C196" s="9"/>
      <c r="D196" s="9"/>
      <c r="E196" s="9"/>
      <c r="F196" s="42"/>
      <c r="G196" s="9"/>
      <c r="H196" s="9"/>
      <c r="I196" s="6"/>
      <c r="J196" s="6"/>
      <c r="K196" s="6"/>
      <c r="L196" s="6"/>
      <c r="M196" s="6"/>
      <c r="N196" s="9"/>
    </row>
    <row r="197" spans="1:14" s="10" customFormat="1" x14ac:dyDescent="0.25">
      <c r="A197" s="7"/>
      <c r="B197" s="11"/>
      <c r="C197" s="9"/>
      <c r="D197" s="9"/>
      <c r="E197" s="9"/>
      <c r="F197" s="42"/>
      <c r="G197" s="9"/>
      <c r="H197" s="9"/>
      <c r="I197" s="6"/>
      <c r="J197" s="6"/>
      <c r="K197" s="6"/>
      <c r="L197" s="6"/>
      <c r="M197" s="6"/>
      <c r="N197" s="9"/>
    </row>
    <row r="198" spans="1:14" s="10" customFormat="1" x14ac:dyDescent="0.25">
      <c r="A198" s="7"/>
      <c r="B198" s="11"/>
      <c r="C198" s="9"/>
      <c r="D198" s="9"/>
      <c r="E198" s="9"/>
      <c r="F198" s="42"/>
      <c r="G198" s="9"/>
      <c r="H198" s="9"/>
      <c r="I198" s="6"/>
      <c r="J198" s="6"/>
      <c r="K198" s="6"/>
      <c r="L198" s="6"/>
      <c r="M198" s="6"/>
      <c r="N198" s="9"/>
    </row>
    <row r="199" spans="1:14" s="10" customFormat="1" x14ac:dyDescent="0.25">
      <c r="A199" s="7"/>
      <c r="B199" s="11"/>
      <c r="C199" s="9"/>
      <c r="D199" s="9"/>
      <c r="E199" s="9"/>
      <c r="F199" s="42"/>
      <c r="G199" s="9"/>
      <c r="H199" s="9"/>
      <c r="I199" s="6"/>
      <c r="J199" s="6"/>
      <c r="K199" s="6"/>
      <c r="L199" s="6"/>
      <c r="M199" s="6"/>
      <c r="N199" s="9"/>
    </row>
    <row r="200" spans="1:14" s="10" customFormat="1" x14ac:dyDescent="0.25">
      <c r="A200" s="7"/>
      <c r="B200" s="11"/>
      <c r="C200" s="9"/>
      <c r="D200" s="9"/>
      <c r="E200" s="9"/>
      <c r="F200" s="42"/>
      <c r="G200" s="9"/>
      <c r="H200" s="9"/>
      <c r="I200" s="6"/>
      <c r="J200" s="6"/>
      <c r="K200" s="6"/>
      <c r="L200" s="6"/>
      <c r="M200" s="6"/>
      <c r="N200" s="9"/>
    </row>
    <row r="201" spans="1:14" s="10" customFormat="1" x14ac:dyDescent="0.25">
      <c r="A201" s="7"/>
      <c r="B201" s="11"/>
      <c r="C201" s="9"/>
      <c r="D201" s="9"/>
      <c r="E201" s="9"/>
      <c r="F201" s="42"/>
      <c r="G201" s="9"/>
      <c r="H201" s="9"/>
      <c r="I201" s="6"/>
      <c r="J201" s="6"/>
      <c r="K201" s="6"/>
      <c r="L201" s="6"/>
      <c r="M201" s="6"/>
      <c r="N201" s="9"/>
    </row>
    <row r="202" spans="1:14" s="10" customFormat="1" x14ac:dyDescent="0.25">
      <c r="A202" s="7"/>
      <c r="B202" s="11"/>
      <c r="C202" s="9"/>
      <c r="D202" s="9"/>
      <c r="E202" s="9"/>
      <c r="F202" s="42"/>
      <c r="G202" s="9"/>
      <c r="H202" s="9"/>
      <c r="I202" s="6"/>
      <c r="J202" s="6"/>
      <c r="K202" s="6"/>
      <c r="L202" s="6"/>
      <c r="M202" s="6"/>
      <c r="N202" s="9"/>
    </row>
    <row r="203" spans="1:14" s="10" customFormat="1" x14ac:dyDescent="0.25">
      <c r="A203" s="7"/>
      <c r="B203" s="11"/>
      <c r="C203" s="9"/>
      <c r="D203" s="9"/>
      <c r="E203" s="9"/>
      <c r="F203" s="42"/>
      <c r="G203" s="9"/>
      <c r="H203" s="9"/>
      <c r="I203" s="6"/>
      <c r="J203" s="6"/>
      <c r="K203" s="6"/>
      <c r="L203" s="6"/>
      <c r="M203" s="6"/>
      <c r="N203" s="9"/>
    </row>
    <row r="204" spans="1:14" s="10" customFormat="1" x14ac:dyDescent="0.25">
      <c r="A204" s="7"/>
      <c r="B204" s="11"/>
      <c r="C204" s="9"/>
      <c r="D204" s="9"/>
      <c r="E204" s="9"/>
      <c r="F204" s="42"/>
      <c r="G204" s="9"/>
      <c r="H204" s="9"/>
      <c r="I204" s="6"/>
      <c r="J204" s="6"/>
      <c r="K204" s="6"/>
      <c r="L204" s="6"/>
      <c r="M204" s="6"/>
      <c r="N204" s="9"/>
    </row>
    <row r="205" spans="1:14" s="10" customFormat="1" x14ac:dyDescent="0.25">
      <c r="A205" s="7"/>
      <c r="B205" s="11"/>
      <c r="C205" s="9"/>
      <c r="D205" s="9"/>
      <c r="E205" s="9"/>
      <c r="F205" s="42"/>
      <c r="G205" s="9"/>
      <c r="H205" s="9"/>
      <c r="I205" s="6"/>
      <c r="J205" s="6"/>
      <c r="K205" s="6"/>
      <c r="L205" s="6"/>
      <c r="M205" s="6"/>
      <c r="N205" s="9"/>
    </row>
    <row r="206" spans="1:14" s="10" customFormat="1" x14ac:dyDescent="0.25">
      <c r="A206" s="7"/>
      <c r="B206" s="11"/>
      <c r="C206" s="9"/>
      <c r="D206" s="9"/>
      <c r="E206" s="9"/>
      <c r="F206" s="42"/>
      <c r="G206" s="9"/>
      <c r="H206" s="9"/>
      <c r="I206" s="6"/>
      <c r="J206" s="6"/>
      <c r="K206" s="6"/>
      <c r="L206" s="6"/>
      <c r="M206" s="6"/>
      <c r="N206" s="9"/>
    </row>
    <row r="207" spans="1:14" s="10" customFormat="1" x14ac:dyDescent="0.25">
      <c r="A207" s="7"/>
      <c r="B207" s="11"/>
      <c r="C207" s="9"/>
      <c r="D207" s="9"/>
      <c r="E207" s="9"/>
      <c r="F207" s="42"/>
      <c r="G207" s="9"/>
      <c r="H207" s="9"/>
      <c r="I207" s="6"/>
      <c r="J207" s="6"/>
      <c r="K207" s="6"/>
      <c r="L207" s="6"/>
      <c r="M207" s="6"/>
      <c r="N207" s="9"/>
    </row>
    <row r="208" spans="1:14" s="10" customFormat="1" x14ac:dyDescent="0.25">
      <c r="A208" s="7"/>
      <c r="B208" s="11"/>
      <c r="C208" s="9"/>
      <c r="D208" s="9"/>
      <c r="E208" s="9"/>
      <c r="F208" s="42"/>
      <c r="G208" s="9"/>
      <c r="H208" s="9"/>
      <c r="I208" s="6"/>
      <c r="J208" s="6"/>
      <c r="K208" s="6"/>
      <c r="L208" s="6"/>
      <c r="M208" s="6"/>
      <c r="N208" s="9"/>
    </row>
    <row r="209" spans="1:14" s="10" customFormat="1" x14ac:dyDescent="0.25">
      <c r="A209" s="7"/>
      <c r="B209" s="11"/>
      <c r="C209" s="9"/>
      <c r="D209" s="9"/>
      <c r="E209" s="9"/>
      <c r="F209" s="42"/>
      <c r="G209" s="9"/>
      <c r="H209" s="9"/>
      <c r="I209" s="6"/>
      <c r="J209" s="6"/>
      <c r="K209" s="6"/>
      <c r="L209" s="6"/>
      <c r="M209" s="6"/>
      <c r="N209" s="9"/>
    </row>
    <row r="210" spans="1:14" s="10" customFormat="1" x14ac:dyDescent="0.25">
      <c r="A210" s="7"/>
      <c r="B210" s="11"/>
      <c r="C210" s="9"/>
      <c r="D210" s="9"/>
      <c r="E210" s="9"/>
      <c r="F210" s="42"/>
      <c r="G210" s="9"/>
      <c r="H210" s="9"/>
      <c r="I210" s="6"/>
      <c r="J210" s="6"/>
      <c r="K210" s="6"/>
      <c r="L210" s="6"/>
      <c r="M210" s="6"/>
      <c r="N210" s="9"/>
    </row>
    <row r="211" spans="1:14" s="10" customFormat="1" x14ac:dyDescent="0.25">
      <c r="A211" s="7"/>
      <c r="B211" s="11"/>
      <c r="C211" s="9"/>
      <c r="D211" s="9"/>
      <c r="E211" s="9"/>
      <c r="F211" s="42"/>
      <c r="G211" s="9"/>
      <c r="H211" s="9"/>
      <c r="I211" s="6"/>
      <c r="J211" s="6"/>
      <c r="K211" s="6"/>
      <c r="L211" s="6"/>
      <c r="M211" s="6"/>
      <c r="N211" s="9"/>
    </row>
    <row r="212" spans="1:14" s="10" customFormat="1" x14ac:dyDescent="0.25">
      <c r="A212" s="7"/>
      <c r="B212" s="11"/>
      <c r="C212" s="9"/>
      <c r="D212" s="9"/>
      <c r="E212" s="9"/>
      <c r="F212" s="42"/>
      <c r="G212" s="9"/>
      <c r="H212" s="9"/>
      <c r="I212" s="6"/>
      <c r="J212" s="6"/>
      <c r="K212" s="6"/>
      <c r="L212" s="6"/>
      <c r="M212" s="6"/>
      <c r="N212" s="9"/>
    </row>
    <row r="213" spans="1:14" s="10" customFormat="1" x14ac:dyDescent="0.25">
      <c r="A213" s="7"/>
      <c r="B213" s="11"/>
      <c r="C213" s="9"/>
      <c r="D213" s="9"/>
      <c r="E213" s="9"/>
      <c r="F213" s="42"/>
      <c r="G213" s="9"/>
      <c r="H213" s="9"/>
      <c r="I213" s="6"/>
      <c r="J213" s="6"/>
      <c r="K213" s="6"/>
      <c r="L213" s="6"/>
      <c r="M213" s="6"/>
      <c r="N213" s="9"/>
    </row>
    <row r="214" spans="1:14" s="10" customFormat="1" x14ac:dyDescent="0.25">
      <c r="A214" s="7"/>
      <c r="B214" s="11"/>
      <c r="C214" s="9"/>
      <c r="D214" s="9"/>
      <c r="E214" s="9"/>
      <c r="F214" s="42"/>
      <c r="G214" s="9"/>
      <c r="H214" s="9"/>
      <c r="I214" s="6"/>
      <c r="J214" s="6"/>
      <c r="K214" s="6"/>
      <c r="L214" s="6"/>
      <c r="M214" s="6"/>
      <c r="N214" s="9"/>
    </row>
    <row r="215" spans="1:14" s="10" customFormat="1" x14ac:dyDescent="0.25">
      <c r="A215" s="7"/>
      <c r="B215" s="11"/>
      <c r="C215" s="9"/>
      <c r="D215" s="9"/>
      <c r="E215" s="9"/>
      <c r="F215" s="42"/>
      <c r="G215" s="9"/>
      <c r="H215" s="9"/>
      <c r="I215" s="6"/>
      <c r="J215" s="6"/>
      <c r="K215" s="6"/>
      <c r="L215" s="6"/>
      <c r="M215" s="6"/>
      <c r="N215" s="9"/>
    </row>
    <row r="216" spans="1:14" s="10" customFormat="1" x14ac:dyDescent="0.25">
      <c r="A216" s="7"/>
      <c r="B216" s="11"/>
      <c r="C216" s="9"/>
      <c r="D216" s="9"/>
      <c r="E216" s="9"/>
      <c r="F216" s="42"/>
      <c r="G216" s="9"/>
      <c r="H216" s="9"/>
      <c r="I216" s="6"/>
      <c r="J216" s="6"/>
      <c r="K216" s="6"/>
      <c r="L216" s="6"/>
      <c r="M216" s="6"/>
      <c r="N216" s="9"/>
    </row>
    <row r="217" spans="1:14" s="10" customFormat="1" x14ac:dyDescent="0.25">
      <c r="A217" s="7"/>
      <c r="B217" s="11"/>
      <c r="C217" s="9"/>
      <c r="D217" s="9"/>
      <c r="E217" s="9"/>
      <c r="F217" s="42"/>
      <c r="G217" s="9"/>
      <c r="H217" s="9"/>
      <c r="I217" s="6"/>
      <c r="J217" s="6"/>
      <c r="K217" s="6"/>
      <c r="L217" s="6"/>
      <c r="M217" s="6"/>
      <c r="N217" s="9"/>
    </row>
    <row r="218" spans="1:14" s="10" customFormat="1" x14ac:dyDescent="0.25">
      <c r="A218" s="7"/>
      <c r="B218" s="11"/>
      <c r="C218" s="9"/>
      <c r="D218" s="9"/>
      <c r="E218" s="9"/>
      <c r="F218" s="42"/>
      <c r="G218" s="9"/>
      <c r="H218" s="9"/>
      <c r="I218" s="6"/>
      <c r="J218" s="6"/>
      <c r="K218" s="6"/>
      <c r="L218" s="6"/>
      <c r="M218" s="6"/>
      <c r="N218" s="9"/>
    </row>
    <row r="219" spans="1:14" s="10" customFormat="1" x14ac:dyDescent="0.25">
      <c r="A219" s="7"/>
      <c r="B219" s="11"/>
      <c r="C219" s="9"/>
      <c r="D219" s="9"/>
      <c r="E219" s="9"/>
      <c r="F219" s="42"/>
      <c r="G219" s="9"/>
      <c r="H219" s="9"/>
      <c r="I219" s="6"/>
      <c r="J219" s="6"/>
      <c r="K219" s="6"/>
      <c r="L219" s="6"/>
      <c r="M219" s="6"/>
      <c r="N219" s="9"/>
    </row>
    <row r="220" spans="1:14" s="10" customFormat="1" x14ac:dyDescent="0.25">
      <c r="A220" s="7"/>
      <c r="B220" s="11"/>
      <c r="C220" s="9"/>
      <c r="D220" s="9"/>
      <c r="E220" s="9"/>
      <c r="F220" s="42"/>
      <c r="G220" s="9"/>
      <c r="H220" s="9"/>
      <c r="I220" s="6"/>
      <c r="J220" s="6"/>
      <c r="K220" s="6"/>
      <c r="L220" s="6"/>
      <c r="M220" s="6"/>
      <c r="N220" s="9"/>
    </row>
    <row r="221" spans="1:14" s="10" customFormat="1" x14ac:dyDescent="0.25">
      <c r="A221" s="7"/>
      <c r="B221" s="11"/>
      <c r="C221" s="9"/>
      <c r="D221" s="9"/>
      <c r="E221" s="9"/>
      <c r="F221" s="42"/>
      <c r="G221" s="9"/>
      <c r="H221" s="9"/>
      <c r="I221" s="6"/>
      <c r="J221" s="6"/>
      <c r="K221" s="6"/>
      <c r="L221" s="6"/>
      <c r="M221" s="6"/>
      <c r="N221" s="9"/>
    </row>
    <row r="222" spans="1:14" s="10" customFormat="1" x14ac:dyDescent="0.25">
      <c r="A222" s="7"/>
      <c r="B222" s="11"/>
      <c r="C222" s="9"/>
      <c r="D222" s="9"/>
      <c r="E222" s="9"/>
      <c r="F222" s="42"/>
      <c r="G222" s="9"/>
      <c r="H222" s="9"/>
      <c r="I222" s="6"/>
      <c r="J222" s="6"/>
      <c r="K222" s="6"/>
      <c r="L222" s="6"/>
      <c r="M222" s="6"/>
      <c r="N222" s="9"/>
    </row>
    <row r="223" spans="1:14" s="10" customFormat="1" x14ac:dyDescent="0.25">
      <c r="A223" s="7"/>
      <c r="B223" s="11"/>
      <c r="C223" s="9"/>
      <c r="D223" s="9"/>
      <c r="E223" s="9"/>
      <c r="F223" s="42"/>
      <c r="G223" s="9"/>
      <c r="H223" s="9"/>
      <c r="I223" s="6"/>
      <c r="J223" s="6"/>
      <c r="K223" s="6"/>
      <c r="L223" s="6"/>
      <c r="M223" s="6"/>
      <c r="N223" s="9"/>
    </row>
    <row r="224" spans="1:14" s="10" customFormat="1" x14ac:dyDescent="0.25">
      <c r="A224" s="7"/>
      <c r="B224" s="11"/>
      <c r="C224" s="9"/>
      <c r="D224" s="9"/>
      <c r="E224" s="9"/>
      <c r="F224" s="42"/>
      <c r="G224" s="9"/>
      <c r="H224" s="9"/>
      <c r="I224" s="6"/>
      <c r="J224" s="6"/>
      <c r="K224" s="6"/>
      <c r="L224" s="6"/>
      <c r="M224" s="6"/>
      <c r="N224" s="9"/>
    </row>
    <row r="225" spans="1:14" s="10" customFormat="1" x14ac:dyDescent="0.25">
      <c r="A225" s="7"/>
      <c r="B225" s="11"/>
      <c r="C225" s="9"/>
      <c r="D225" s="9"/>
      <c r="E225" s="9"/>
      <c r="F225" s="42"/>
      <c r="G225" s="9"/>
      <c r="H225" s="9"/>
      <c r="I225" s="6"/>
      <c r="J225" s="6"/>
      <c r="K225" s="6"/>
      <c r="L225" s="6"/>
      <c r="M225" s="6"/>
      <c r="N225" s="9"/>
    </row>
    <row r="226" spans="1:14" s="10" customFormat="1" x14ac:dyDescent="0.25">
      <c r="A226" s="7"/>
      <c r="B226" s="11"/>
      <c r="C226" s="9"/>
      <c r="D226" s="9"/>
      <c r="E226" s="9"/>
      <c r="F226" s="42"/>
      <c r="G226" s="9"/>
      <c r="H226" s="9"/>
      <c r="I226" s="6"/>
      <c r="J226" s="6"/>
      <c r="K226" s="6"/>
      <c r="L226" s="6"/>
      <c r="M226" s="6"/>
      <c r="N226" s="9"/>
    </row>
    <row r="227" spans="1:14" s="10" customFormat="1" x14ac:dyDescent="0.25">
      <c r="A227" s="7"/>
      <c r="B227" s="11"/>
      <c r="C227" s="9"/>
      <c r="D227" s="9"/>
      <c r="E227" s="9"/>
      <c r="F227" s="42"/>
      <c r="G227" s="9"/>
      <c r="H227" s="9"/>
      <c r="I227" s="6"/>
      <c r="J227" s="6"/>
      <c r="K227" s="6"/>
      <c r="L227" s="6"/>
      <c r="M227" s="6"/>
      <c r="N227" s="9"/>
    </row>
    <row r="228" spans="1:14" s="10" customFormat="1" x14ac:dyDescent="0.25">
      <c r="A228" s="7"/>
      <c r="B228" s="11"/>
      <c r="C228" s="9"/>
      <c r="D228" s="9"/>
      <c r="E228" s="9"/>
      <c r="F228" s="42"/>
      <c r="G228" s="9"/>
      <c r="H228" s="9"/>
      <c r="I228" s="6"/>
      <c r="J228" s="6"/>
      <c r="K228" s="6"/>
      <c r="L228" s="6"/>
      <c r="M228" s="6"/>
      <c r="N228" s="9"/>
    </row>
  </sheetData>
  <hyperlinks>
    <hyperlink ref="F7" location="'SU A0100'!A1" display="'SU A0100'!A1"/>
    <hyperlink ref="F8" location="SU_01001" display="SU_01001"/>
    <hyperlink ref="F9" location="SU_01002" display="SU_01002"/>
    <hyperlink ref="F10" location="SU_01003" display="SU_01003"/>
    <hyperlink ref="F11" location="SU_01004" display="SU_01004"/>
    <hyperlink ref="F12" location="SU_01005" display="SU_01005"/>
    <hyperlink ref="F14" location="SU_01007" display="SU_01007"/>
    <hyperlink ref="F19" location="SU_A0200" display="SU_A0200"/>
    <hyperlink ref="F20" location="SU_02001" display="SU_02001"/>
    <hyperlink ref="F21:F26" location="SU_01001" display="SU_01001"/>
    <hyperlink ref="F21" location="SU_02002" display="SU_02002"/>
    <hyperlink ref="F22" location="SU_02003" display="SU_02003"/>
    <hyperlink ref="F23" location="SU_02004" display="SU_02004"/>
    <hyperlink ref="F24" location="SU_02005" display="SU_02005"/>
    <hyperlink ref="F26" location="SU_02007" display="SU_02007"/>
    <hyperlink ref="F13" location="SU_01006" display="SU_01006"/>
    <hyperlink ref="F25" location="SU_02006" display="SU_02006"/>
    <hyperlink ref="F31" location="SU_A0300" display="SU_A0300"/>
    <hyperlink ref="F32" location="SU_03001" display="SU_03001"/>
    <hyperlink ref="F33:F38" location="SU_03001" display="SU_03001"/>
    <hyperlink ref="F33" location="SU_03002" display="SU_03002"/>
    <hyperlink ref="F34" location="SU_03003" display="SU_03003"/>
    <hyperlink ref="F35" location="SU_03004" display="SU_03004"/>
    <hyperlink ref="F36" location="SU_03005" display="SU_03005"/>
    <hyperlink ref="F37" location="SU_03006" display="SU_03006"/>
    <hyperlink ref="F38" location="SU_03007" display="SU_03007"/>
    <hyperlink ref="F15:F17" location="SU_01007" display="SU_01007"/>
    <hyperlink ref="F18" location="SU_01011" display="SU_01011"/>
    <hyperlink ref="F15" location="SU_01008" display="SU_01008"/>
    <hyperlink ref="F16" location="SU_01009" display="SU_01009"/>
    <hyperlink ref="F17" location="SU_01010" display="SU_01010"/>
    <hyperlink ref="F27" location="SU_02008" display="SU_02008"/>
    <hyperlink ref="F28" location="SU_02009" display="SU_02009"/>
    <hyperlink ref="F29" location="SU_02010" display="SU_02010"/>
    <hyperlink ref="F30" location="SU_02011" display="SU_02011"/>
    <hyperlink ref="F39" location="SU_03008" display="SU_03008"/>
    <hyperlink ref="F40" location="SU_03009" display="SU_03009"/>
    <hyperlink ref="F41" location="SU_03010" display="SU_03010"/>
    <hyperlink ref="F42" location="SU_03011" display="SU_03011"/>
    <hyperlink ref="F43" location="SU_A0400" display="SU_A0400"/>
    <hyperlink ref="F44" location="SU_04001" display="SU_04001"/>
    <hyperlink ref="F45:F50" location="SU_03001" display="SU_03001"/>
    <hyperlink ref="F45" location="SU_04002" display="SU_04002"/>
    <hyperlink ref="F46" location="SU_04003" display="SU_04003"/>
    <hyperlink ref="F47" location="SU_04004" display="SU_04004"/>
    <hyperlink ref="F48" location="SU_04005" display="SU_04005"/>
    <hyperlink ref="F49" location="SU_03006" display="SU_03006"/>
    <hyperlink ref="F50" location="SU_04007" display="SU_04007"/>
    <hyperlink ref="F52" location="SU_03009" display="SU_03009"/>
    <hyperlink ref="F53" location="SU_03010" display="SU_03010"/>
    <hyperlink ref="F54" location="SU_03011" display="SU_03011"/>
    <hyperlink ref="F51" location="SU_04008" display="SU_04008"/>
    <hyperlink ref="F55" location="'SU A0500'!A1" display="'SU A0500'!A1"/>
    <hyperlink ref="F56" location="SU_05001" display="SU_05001"/>
    <hyperlink ref="F58" location="SU_06001" display="Rocker bushing"/>
    <hyperlink ref="F59" location="SU_06002" display="Rocker spacer"/>
    <hyperlink ref="F60" location="SU_06003" display="Sheets of metal for rocker"/>
    <hyperlink ref="F61" location="SU_06004" display="Front rocker mount"/>
    <hyperlink ref="F63" location="SU_07001" display="SU_07001"/>
    <hyperlink ref="F62" location="SU_A0700" display="SU_A0700"/>
    <hyperlink ref="F65" location="SU_08001" display="Rocker bushing"/>
    <hyperlink ref="F66" location="SU_08002" display="Sheets of metal for rocker"/>
    <hyperlink ref="F67" location="SU_08003" display="Rear rocker mount"/>
    <hyperlink ref="F64" location="SU_A0800" display="Rear Bell Cranck"/>
    <hyperlink ref="F57" location="SU_A0600" display="SU_A0600"/>
    <hyperlink ref="F69" location="SU_09001" display="SU_09001"/>
    <hyperlink ref="F70" location="SU_09002" display="SU_09002"/>
    <hyperlink ref="F68" location="SU_A0900" display="SU_A0900"/>
    <hyperlink ref="F71" location="SU_09003" display="SU_09003"/>
    <hyperlink ref="F72" location="SU_09004" display="SU_09004"/>
    <hyperlink ref="F74" location="SU_10001" display="SU_10001"/>
    <hyperlink ref="F75" location="SU_10002" display="SU_10002"/>
    <hyperlink ref="F73" location="SU_A1000" display="SU_A1000"/>
    <hyperlink ref="F76" location="SU_10003" display="SU_10003"/>
    <hyperlink ref="F77" location="SU_10004" display="SU_10004"/>
    <hyperlink ref="F78" location="SU_10005" display="SU_10005"/>
  </hyperlinks>
  <pageMargins left="0.41" right="0.22" top="0.72" bottom="0.57999999999999996" header="0.5" footer="0.26"/>
  <pageSetup paperSize="119" scale="57" fitToHeight="99" orientation="landscape" r:id="rId1"/>
  <headerFooter alignWithMargins="0"/>
  <rowBreaks count="1" manualBreakCount="1">
    <brk id="6" max="16383" man="1"/>
  </rowBreak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3" sqref="N3"/>
    </sheetView>
  </sheetViews>
  <sheetFormatPr baseColWidth="10" defaultRowHeight="14.4" x14ac:dyDescent="0.3"/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317" t="s">
        <v>0</v>
      </c>
      <c r="B2" s="16" t="s">
        <v>37</v>
      </c>
      <c r="C2" s="275"/>
      <c r="D2" s="275"/>
      <c r="E2" s="275"/>
      <c r="F2" s="283" t="s">
        <v>126</v>
      </c>
      <c r="G2" s="275"/>
      <c r="H2" s="275"/>
      <c r="I2" s="275"/>
      <c r="J2" s="102" t="s">
        <v>1</v>
      </c>
      <c r="K2" s="279">
        <v>81</v>
      </c>
      <c r="L2" s="275"/>
      <c r="M2" s="303" t="s">
        <v>16</v>
      </c>
      <c r="N2" s="420">
        <f>SU_01010_m+SU_01010_p</f>
        <v>1.3143274375</v>
      </c>
      <c r="O2" s="276"/>
    </row>
    <row r="3" spans="1:15" x14ac:dyDescent="0.3">
      <c r="A3" s="317" t="s">
        <v>3</v>
      </c>
      <c r="B3" s="16" t="str">
        <f>'SU A0100'!B3</f>
        <v>Suspension &amp; Shocks</v>
      </c>
      <c r="C3" s="279"/>
      <c r="D3" s="350" t="s">
        <v>6</v>
      </c>
      <c r="E3" s="287" t="s">
        <v>86</v>
      </c>
      <c r="F3" s="275"/>
      <c r="G3" s="275"/>
      <c r="H3" s="275"/>
      <c r="I3" s="275"/>
      <c r="J3" s="275"/>
      <c r="K3" s="275"/>
      <c r="L3" s="275"/>
      <c r="M3" s="303" t="s">
        <v>4</v>
      </c>
      <c r="N3" s="280">
        <v>1</v>
      </c>
      <c r="O3" s="276"/>
    </row>
    <row r="4" spans="1:15" x14ac:dyDescent="0.3">
      <c r="A4" s="317" t="s">
        <v>5</v>
      </c>
      <c r="B4" s="88" t="str">
        <f>'SU A0100'!B4</f>
        <v>Upper Front A-arm</v>
      </c>
      <c r="C4" s="275"/>
      <c r="D4" s="350" t="s">
        <v>8</v>
      </c>
      <c r="E4" s="352"/>
      <c r="F4" s="275"/>
      <c r="G4" s="275"/>
      <c r="H4" s="275"/>
      <c r="I4" s="275"/>
      <c r="J4" s="102" t="s">
        <v>6</v>
      </c>
      <c r="K4" s="275"/>
      <c r="L4" s="275"/>
      <c r="M4" s="275"/>
      <c r="N4" s="275"/>
      <c r="O4" s="276"/>
    </row>
    <row r="5" spans="1:15" x14ac:dyDescent="0.3">
      <c r="A5" s="317" t="s">
        <v>15</v>
      </c>
      <c r="B5" s="72" t="s">
        <v>291</v>
      </c>
      <c r="C5" s="275"/>
      <c r="D5" s="350" t="s">
        <v>12</v>
      </c>
      <c r="E5" s="352"/>
      <c r="F5" s="275"/>
      <c r="G5" s="275"/>
      <c r="H5" s="275"/>
      <c r="I5" s="275"/>
      <c r="J5" s="102" t="s">
        <v>8</v>
      </c>
      <c r="K5" s="275"/>
      <c r="L5" s="275"/>
      <c r="M5" s="303" t="s">
        <v>9</v>
      </c>
      <c r="N5" s="277">
        <v>1.5188994999999998</v>
      </c>
      <c r="O5" s="276"/>
    </row>
    <row r="6" spans="1:15" x14ac:dyDescent="0.3">
      <c r="A6" s="317" t="s">
        <v>7</v>
      </c>
      <c r="B6" s="28" t="s">
        <v>287</v>
      </c>
      <c r="C6" s="275"/>
      <c r="D6" s="275"/>
      <c r="E6" s="275"/>
      <c r="F6" s="275"/>
      <c r="G6" s="275"/>
      <c r="H6" s="275"/>
      <c r="I6" s="275"/>
      <c r="J6" s="102" t="s">
        <v>12</v>
      </c>
      <c r="K6" s="275"/>
      <c r="L6" s="275"/>
      <c r="M6" s="275"/>
      <c r="N6" s="275"/>
      <c r="O6" s="276"/>
    </row>
    <row r="7" spans="1:15" x14ac:dyDescent="0.3">
      <c r="A7" s="317" t="s">
        <v>10</v>
      </c>
      <c r="B7" s="16" t="s">
        <v>11</v>
      </c>
      <c r="C7" s="275"/>
      <c r="D7" s="275"/>
      <c r="E7" s="275"/>
      <c r="F7" s="275"/>
      <c r="G7" s="275"/>
      <c r="H7" s="275"/>
      <c r="I7" s="275"/>
      <c r="J7" s="275"/>
      <c r="K7" s="275"/>
      <c r="L7" s="275"/>
      <c r="M7" s="275"/>
      <c r="N7" s="275"/>
      <c r="O7" s="276"/>
    </row>
    <row r="8" spans="1:15" x14ac:dyDescent="0.3">
      <c r="A8" s="317" t="s">
        <v>13</v>
      </c>
      <c r="B8" s="275" t="s">
        <v>277</v>
      </c>
      <c r="C8" s="275"/>
      <c r="D8" s="275"/>
      <c r="E8" s="275"/>
      <c r="F8" s="275"/>
      <c r="G8" s="275"/>
      <c r="H8" s="275"/>
      <c r="I8" s="275"/>
      <c r="J8" s="275"/>
      <c r="K8" s="275"/>
      <c r="L8" s="275"/>
      <c r="M8" s="275"/>
      <c r="N8" s="275"/>
      <c r="O8" s="276"/>
    </row>
    <row r="9" spans="1:15" x14ac:dyDescent="0.3">
      <c r="A9" s="291"/>
      <c r="B9" s="275"/>
      <c r="C9" s="275"/>
      <c r="D9" s="275"/>
      <c r="E9" s="275"/>
      <c r="F9" s="275"/>
      <c r="G9" s="275"/>
      <c r="H9" s="275"/>
      <c r="I9" s="275"/>
      <c r="J9" s="275"/>
      <c r="K9" s="275"/>
      <c r="L9" s="275"/>
      <c r="M9" s="275"/>
      <c r="N9" s="275"/>
      <c r="O9" s="276"/>
    </row>
    <row r="10" spans="1:15" x14ac:dyDescent="0.3">
      <c r="A10" s="318" t="s">
        <v>14</v>
      </c>
      <c r="B10" s="299" t="s">
        <v>19</v>
      </c>
      <c r="C10" s="299" t="s">
        <v>20</v>
      </c>
      <c r="D10" s="299" t="s">
        <v>21</v>
      </c>
      <c r="E10" s="299" t="s">
        <v>22</v>
      </c>
      <c r="F10" s="299" t="s">
        <v>23</v>
      </c>
      <c r="G10" s="299" t="s">
        <v>24</v>
      </c>
      <c r="H10" s="299" t="s">
        <v>25</v>
      </c>
      <c r="I10" s="299" t="s">
        <v>26</v>
      </c>
      <c r="J10" s="299" t="s">
        <v>27</v>
      </c>
      <c r="K10" s="299" t="s">
        <v>28</v>
      </c>
      <c r="L10" s="299" t="s">
        <v>29</v>
      </c>
      <c r="M10" s="299" t="s">
        <v>17</v>
      </c>
      <c r="N10" s="299" t="s">
        <v>18</v>
      </c>
      <c r="O10" s="276"/>
    </row>
    <row r="11" spans="1:15" ht="28.8" x14ac:dyDescent="0.3">
      <c r="A11" s="295">
        <v>10</v>
      </c>
      <c r="B11" s="319" t="s">
        <v>278</v>
      </c>
      <c r="C11" s="320" t="s">
        <v>279</v>
      </c>
      <c r="D11" s="305">
        <v>2.25</v>
      </c>
      <c r="E11" s="321">
        <f>J11*K11*L11</f>
        <v>4.4705750000000002E-2</v>
      </c>
      <c r="F11" s="322" t="s">
        <v>212</v>
      </c>
      <c r="G11" s="322"/>
      <c r="H11" s="323"/>
      <c r="I11" s="324" t="s">
        <v>280</v>
      </c>
      <c r="J11" s="325">
        <v>1.139E-3</v>
      </c>
      <c r="K11" s="325">
        <v>5.0000000000000001E-3</v>
      </c>
      <c r="L11" s="326">
        <v>7850</v>
      </c>
      <c r="M11" s="326">
        <v>1</v>
      </c>
      <c r="N11" s="327">
        <f>IF(J11="",D11*M11,D11*J11*K11*L11*M11)</f>
        <v>0.10058793749999999</v>
      </c>
      <c r="O11" s="276"/>
    </row>
    <row r="12" spans="1:15" x14ac:dyDescent="0.3">
      <c r="A12" s="295">
        <v>20</v>
      </c>
      <c r="B12" s="319" t="s">
        <v>281</v>
      </c>
      <c r="C12" s="320"/>
      <c r="D12" s="328">
        <v>10</v>
      </c>
      <c r="E12" s="329">
        <f>2*J11</f>
        <v>2.2780000000000001E-3</v>
      </c>
      <c r="F12" s="330" t="s">
        <v>276</v>
      </c>
      <c r="G12" s="322"/>
      <c r="H12" s="323"/>
      <c r="I12" s="324"/>
      <c r="J12" s="325"/>
      <c r="K12" s="323"/>
      <c r="L12" s="326"/>
      <c r="M12" s="326"/>
      <c r="N12" s="327">
        <f>E12*D12</f>
        <v>2.2780000000000002E-2</v>
      </c>
      <c r="O12" s="276"/>
    </row>
    <row r="13" spans="1:15" x14ac:dyDescent="0.3">
      <c r="A13" s="292"/>
      <c r="B13" s="293"/>
      <c r="C13" s="293"/>
      <c r="D13" s="293"/>
      <c r="E13" s="293"/>
      <c r="F13" s="293"/>
      <c r="G13" s="293"/>
      <c r="H13" s="293"/>
      <c r="I13" s="293"/>
      <c r="J13" s="293"/>
      <c r="K13" s="293"/>
      <c r="L13" s="293"/>
      <c r="M13" s="301" t="s">
        <v>18</v>
      </c>
      <c r="N13" s="300">
        <f>SUM(N11:N12)</f>
        <v>0.1233679375</v>
      </c>
      <c r="O13" s="276"/>
    </row>
    <row r="14" spans="1:15" x14ac:dyDescent="0.3">
      <c r="A14" s="291"/>
      <c r="B14" s="275"/>
      <c r="C14" s="275"/>
      <c r="D14" s="275"/>
      <c r="E14" s="275"/>
      <c r="F14" s="275"/>
      <c r="G14" s="275"/>
      <c r="H14" s="275"/>
      <c r="I14" s="275"/>
      <c r="J14" s="275"/>
      <c r="K14" s="275"/>
      <c r="L14" s="275"/>
      <c r="M14" s="275"/>
      <c r="N14" s="275"/>
      <c r="O14" s="276"/>
    </row>
    <row r="15" spans="1:15" x14ac:dyDescent="0.3">
      <c r="A15" s="318" t="s">
        <v>14</v>
      </c>
      <c r="B15" s="299" t="s">
        <v>31</v>
      </c>
      <c r="C15" s="299" t="s">
        <v>20</v>
      </c>
      <c r="D15" s="299" t="s">
        <v>21</v>
      </c>
      <c r="E15" s="299" t="s">
        <v>32</v>
      </c>
      <c r="F15" s="299" t="s">
        <v>17</v>
      </c>
      <c r="G15" s="299" t="s">
        <v>33</v>
      </c>
      <c r="H15" s="299" t="s">
        <v>34</v>
      </c>
      <c r="I15" s="299" t="s">
        <v>18</v>
      </c>
      <c r="J15" s="293"/>
      <c r="K15" s="293"/>
      <c r="L15" s="293"/>
      <c r="M15" s="293"/>
      <c r="N15" s="293"/>
      <c r="O15" s="276"/>
    </row>
    <row r="16" spans="1:15" ht="57.6" x14ac:dyDescent="0.3">
      <c r="A16" s="331">
        <v>10</v>
      </c>
      <c r="B16" s="310" t="s">
        <v>39</v>
      </c>
      <c r="C16" s="332" t="s">
        <v>282</v>
      </c>
      <c r="D16" s="333">
        <v>1.3</v>
      </c>
      <c r="E16" s="310" t="s">
        <v>32</v>
      </c>
      <c r="F16" s="311">
        <v>1</v>
      </c>
      <c r="G16" s="332" t="s">
        <v>294</v>
      </c>
      <c r="H16" s="334">
        <v>0.5</v>
      </c>
      <c r="I16" s="306">
        <f>H16*D16</f>
        <v>0.65</v>
      </c>
      <c r="J16" s="311"/>
      <c r="K16" s="275"/>
      <c r="L16" s="275"/>
      <c r="M16" s="275"/>
      <c r="N16" s="275"/>
      <c r="O16" s="276"/>
    </row>
    <row r="17" spans="1:15" x14ac:dyDescent="0.3">
      <c r="A17" s="335">
        <v>20</v>
      </c>
      <c r="B17" s="307" t="s">
        <v>283</v>
      </c>
      <c r="C17" s="308"/>
      <c r="D17" s="333">
        <v>0.01</v>
      </c>
      <c r="E17" s="307" t="s">
        <v>40</v>
      </c>
      <c r="F17" s="337">
        <v>11.7</v>
      </c>
      <c r="G17" s="310"/>
      <c r="H17" s="334"/>
      <c r="I17" s="306">
        <f>IF(H17="",D17*F17,D17*F17*H17)</f>
        <v>0.11699999999999999</v>
      </c>
      <c r="J17" s="311"/>
      <c r="K17" s="275"/>
      <c r="L17" s="275"/>
      <c r="M17" s="275"/>
      <c r="N17" s="275"/>
      <c r="O17" s="276"/>
    </row>
    <row r="18" spans="1:15" ht="43.2" x14ac:dyDescent="0.3">
      <c r="A18" s="331">
        <v>30</v>
      </c>
      <c r="B18" s="336" t="s">
        <v>39</v>
      </c>
      <c r="C18" s="309"/>
      <c r="D18" s="312">
        <v>0.65</v>
      </c>
      <c r="E18" s="309" t="s">
        <v>32</v>
      </c>
      <c r="F18" s="309">
        <v>1</v>
      </c>
      <c r="G18" s="332" t="s">
        <v>294</v>
      </c>
      <c r="H18" s="309">
        <v>0.5</v>
      </c>
      <c r="I18" s="313">
        <f t="shared" ref="I18:I19" si="0">IF(H18="",D18*F18,D18*F18*H18)</f>
        <v>0.32500000000000001</v>
      </c>
      <c r="J18" s="311"/>
      <c r="K18" s="275"/>
      <c r="L18" s="275"/>
      <c r="M18" s="275"/>
      <c r="N18" s="275"/>
      <c r="O18" s="276"/>
    </row>
    <row r="19" spans="1:15" x14ac:dyDescent="0.3">
      <c r="A19" s="335">
        <v>40</v>
      </c>
      <c r="B19" s="309" t="s">
        <v>159</v>
      </c>
      <c r="C19" s="309" t="s">
        <v>293</v>
      </c>
      <c r="D19" s="312">
        <v>2.9000000000000001E-2</v>
      </c>
      <c r="E19" s="309" t="s">
        <v>161</v>
      </c>
      <c r="F19" s="309">
        <v>1</v>
      </c>
      <c r="G19" s="309" t="s">
        <v>268</v>
      </c>
      <c r="H19" s="309">
        <v>3</v>
      </c>
      <c r="I19" s="313">
        <f t="shared" si="0"/>
        <v>8.7000000000000008E-2</v>
      </c>
      <c r="J19" s="314"/>
      <c r="K19" s="293"/>
      <c r="L19" s="293"/>
      <c r="M19" s="293"/>
      <c r="N19" s="293"/>
      <c r="O19" s="276"/>
    </row>
    <row r="20" spans="1:15" ht="28.8" x14ac:dyDescent="0.3">
      <c r="A20" s="331">
        <v>50</v>
      </c>
      <c r="B20" s="310" t="s">
        <v>233</v>
      </c>
      <c r="C20" s="308" t="s">
        <v>284</v>
      </c>
      <c r="D20" s="315">
        <v>5.25</v>
      </c>
      <c r="E20" s="310" t="s">
        <v>276</v>
      </c>
      <c r="F20" s="465">
        <f>2*J11</f>
        <v>2.2780000000000001E-3</v>
      </c>
      <c r="G20" s="310"/>
      <c r="H20" s="334"/>
      <c r="I20" s="313">
        <f>F20*D20</f>
        <v>1.19595E-2</v>
      </c>
      <c r="J20" s="316"/>
      <c r="K20" s="56"/>
      <c r="L20" s="56"/>
      <c r="M20" s="56"/>
      <c r="N20" s="56"/>
      <c r="O20" s="276"/>
    </row>
    <row r="21" spans="1:15" x14ac:dyDescent="0.3">
      <c r="A21" s="292"/>
      <c r="B21" s="293"/>
      <c r="C21" s="293"/>
      <c r="D21" s="293"/>
      <c r="E21" s="293"/>
      <c r="F21" s="293"/>
      <c r="G21" s="293"/>
      <c r="H21" s="301" t="s">
        <v>18</v>
      </c>
      <c r="I21" s="302">
        <f>SUM(I16:I20)</f>
        <v>1.1909594999999999</v>
      </c>
      <c r="J21" s="56"/>
      <c r="K21" s="56"/>
      <c r="L21" s="56"/>
      <c r="M21" s="56"/>
      <c r="N21" s="56"/>
      <c r="O21" s="276"/>
    </row>
    <row r="22" spans="1:15" ht="15" thickBot="1" x14ac:dyDescent="0.35">
      <c r="A22" s="296"/>
      <c r="B22" s="297"/>
      <c r="C22" s="297"/>
      <c r="D22" s="297"/>
      <c r="E22" s="297"/>
      <c r="F22" s="297"/>
      <c r="G22" s="297"/>
      <c r="H22" s="297"/>
      <c r="I22" s="297"/>
      <c r="J22" s="297"/>
      <c r="K22" s="297"/>
      <c r="L22" s="297"/>
      <c r="M22" s="297"/>
      <c r="N22" s="297"/>
      <c r="O22" s="298"/>
    </row>
  </sheetData>
  <hyperlinks>
    <hyperlink ref="B4" location="'SU A0100'!A1" display="'SU A0100'!A1"/>
    <hyperlink ref="F2" location="SU_A0100_BOM" display="Back to BOM"/>
    <hyperlink ref="E3" location="dSU_01010" display="Drawing"/>
  </hyperlinks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3.5546875" customWidth="1"/>
  </cols>
  <sheetData>
    <row r="1" spans="1:2" x14ac:dyDescent="0.3">
      <c r="A1" t="s">
        <v>195</v>
      </c>
      <c r="B1" s="287" t="s">
        <v>287</v>
      </c>
    </row>
  </sheetData>
  <hyperlinks>
    <hyperlink ref="B1" location="SU_01010" display="SU_01010"/>
  </hyperlinks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B4" sqref="B4"/>
    </sheetView>
  </sheetViews>
  <sheetFormatPr baseColWidth="10" defaultRowHeight="14.4" x14ac:dyDescent="0.3"/>
  <cols>
    <col min="2" max="2" width="17.44140625" customWidth="1"/>
    <col min="3" max="3" width="17.218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317" t="s">
        <v>0</v>
      </c>
      <c r="B2" s="16" t="s">
        <v>37</v>
      </c>
      <c r="C2" s="275"/>
      <c r="D2" s="275"/>
      <c r="E2" s="275"/>
      <c r="F2" s="283" t="s">
        <v>126</v>
      </c>
      <c r="G2" s="275"/>
      <c r="H2" s="275"/>
      <c r="I2" s="275"/>
      <c r="J2" s="102" t="s">
        <v>1</v>
      </c>
      <c r="K2" s="279">
        <v>81</v>
      </c>
      <c r="L2" s="275"/>
      <c r="M2" s="303" t="s">
        <v>16</v>
      </c>
      <c r="N2" s="277">
        <v>0.37972487499999996</v>
      </c>
      <c r="O2" s="276"/>
    </row>
    <row r="3" spans="1:15" x14ac:dyDescent="0.3">
      <c r="A3" s="317" t="s">
        <v>3</v>
      </c>
      <c r="B3" s="16" t="str">
        <f>'SU A0100'!B3</f>
        <v>Suspension &amp; Shocks</v>
      </c>
      <c r="C3" s="279"/>
      <c r="D3" s="350" t="s">
        <v>6</v>
      </c>
      <c r="E3" s="287" t="s">
        <v>86</v>
      </c>
      <c r="F3" s="275"/>
      <c r="G3" s="275"/>
      <c r="H3" s="275"/>
      <c r="I3" s="275"/>
      <c r="J3" s="275"/>
      <c r="K3" s="275"/>
      <c r="L3" s="275"/>
      <c r="M3" s="303" t="s">
        <v>4</v>
      </c>
      <c r="N3" s="280">
        <v>1</v>
      </c>
      <c r="O3" s="276"/>
    </row>
    <row r="4" spans="1:15" x14ac:dyDescent="0.3">
      <c r="A4" s="317" t="s">
        <v>5</v>
      </c>
      <c r="B4" s="88" t="str">
        <f>'SU A0100'!B4</f>
        <v>Upper Front A-arm</v>
      </c>
      <c r="C4" s="275"/>
      <c r="D4" s="350" t="s">
        <v>8</v>
      </c>
      <c r="E4" s="352"/>
      <c r="F4" s="275"/>
      <c r="G4" s="275"/>
      <c r="H4" s="275"/>
      <c r="I4" s="275"/>
      <c r="J4" s="102" t="s">
        <v>6</v>
      </c>
      <c r="K4" s="275"/>
      <c r="L4" s="275"/>
      <c r="M4" s="275"/>
      <c r="N4" s="275"/>
      <c r="O4" s="276"/>
    </row>
    <row r="5" spans="1:15" x14ac:dyDescent="0.3">
      <c r="A5" s="317" t="s">
        <v>15</v>
      </c>
      <c r="B5" s="72" t="s">
        <v>292</v>
      </c>
      <c r="C5" s="275"/>
      <c r="D5" s="350" t="s">
        <v>12</v>
      </c>
      <c r="E5" s="352"/>
      <c r="F5" s="275"/>
      <c r="G5" s="275"/>
      <c r="H5" s="275"/>
      <c r="I5" s="275"/>
      <c r="J5" s="102" t="s">
        <v>8</v>
      </c>
      <c r="K5" s="275"/>
      <c r="L5" s="275"/>
      <c r="M5" s="303" t="s">
        <v>9</v>
      </c>
      <c r="N5" s="277">
        <v>1.5188994999999998</v>
      </c>
      <c r="O5" s="276"/>
    </row>
    <row r="6" spans="1:15" x14ac:dyDescent="0.3">
      <c r="A6" s="317" t="s">
        <v>7</v>
      </c>
      <c r="B6" s="28" t="s">
        <v>288</v>
      </c>
      <c r="C6" s="275"/>
      <c r="D6" s="275"/>
      <c r="E6" s="275"/>
      <c r="F6" s="275"/>
      <c r="G6" s="275"/>
      <c r="H6" s="275"/>
      <c r="I6" s="275"/>
      <c r="J6" s="102" t="s">
        <v>12</v>
      </c>
      <c r="K6" s="275"/>
      <c r="L6" s="275"/>
      <c r="M6" s="275"/>
      <c r="N6" s="275"/>
      <c r="O6" s="276"/>
    </row>
    <row r="7" spans="1:15" x14ac:dyDescent="0.3">
      <c r="A7" s="317" t="s">
        <v>10</v>
      </c>
      <c r="B7" s="16" t="s">
        <v>11</v>
      </c>
      <c r="C7" s="275"/>
      <c r="D7" s="275"/>
      <c r="E7" s="275"/>
      <c r="F7" s="275"/>
      <c r="G7" s="275"/>
      <c r="H7" s="275"/>
      <c r="I7" s="275"/>
      <c r="J7" s="275"/>
      <c r="K7" s="275"/>
      <c r="L7" s="275"/>
      <c r="M7" s="275"/>
      <c r="N7" s="275"/>
      <c r="O7" s="276"/>
    </row>
    <row r="8" spans="1:15" x14ac:dyDescent="0.3">
      <c r="A8" s="317" t="s">
        <v>13</v>
      </c>
      <c r="B8" s="275" t="s">
        <v>277</v>
      </c>
      <c r="C8" s="275"/>
      <c r="D8" s="275"/>
      <c r="E8" s="275"/>
      <c r="F8" s="275"/>
      <c r="G8" s="275"/>
      <c r="H8" s="275"/>
      <c r="I8" s="275"/>
      <c r="J8" s="275"/>
      <c r="K8" s="275"/>
      <c r="L8" s="275"/>
      <c r="M8" s="275"/>
      <c r="N8" s="275"/>
      <c r="O8" s="276"/>
    </row>
    <row r="9" spans="1:15" x14ac:dyDescent="0.3">
      <c r="A9" s="291"/>
      <c r="B9" s="275"/>
      <c r="C9" s="275"/>
      <c r="D9" s="275"/>
      <c r="E9" s="275"/>
      <c r="F9" s="275"/>
      <c r="G9" s="275"/>
      <c r="H9" s="275"/>
      <c r="I9" s="275"/>
      <c r="J9" s="275"/>
      <c r="K9" s="275"/>
      <c r="L9" s="275"/>
      <c r="M9" s="275"/>
      <c r="N9" s="275"/>
      <c r="O9" s="276"/>
    </row>
    <row r="10" spans="1:15" x14ac:dyDescent="0.3">
      <c r="A10" s="318" t="s">
        <v>14</v>
      </c>
      <c r="B10" s="299" t="s">
        <v>19</v>
      </c>
      <c r="C10" s="299" t="s">
        <v>20</v>
      </c>
      <c r="D10" s="299" t="s">
        <v>21</v>
      </c>
      <c r="E10" s="299" t="s">
        <v>22</v>
      </c>
      <c r="F10" s="299" t="s">
        <v>23</v>
      </c>
      <c r="G10" s="299" t="s">
        <v>24</v>
      </c>
      <c r="H10" s="299" t="s">
        <v>25</v>
      </c>
      <c r="I10" s="299" t="s">
        <v>26</v>
      </c>
      <c r="J10" s="299" t="s">
        <v>27</v>
      </c>
      <c r="K10" s="299" t="s">
        <v>28</v>
      </c>
      <c r="L10" s="299" t="s">
        <v>29</v>
      </c>
      <c r="M10" s="299" t="s">
        <v>17</v>
      </c>
      <c r="N10" s="299" t="s">
        <v>18</v>
      </c>
      <c r="O10" s="276"/>
    </row>
    <row r="11" spans="1:15" ht="28.8" x14ac:dyDescent="0.3">
      <c r="A11" s="295">
        <v>10</v>
      </c>
      <c r="B11" s="319" t="s">
        <v>278</v>
      </c>
      <c r="C11" s="320" t="s">
        <v>279</v>
      </c>
      <c r="D11" s="305">
        <v>2.25</v>
      </c>
      <c r="E11" s="321">
        <f>J11*K11*L11</f>
        <v>4.9847500000000003E-2</v>
      </c>
      <c r="F11" s="322" t="s">
        <v>212</v>
      </c>
      <c r="G11" s="322"/>
      <c r="H11" s="323"/>
      <c r="I11" s="324" t="s">
        <v>280</v>
      </c>
      <c r="J11" s="325">
        <v>1.2700000000000001E-3</v>
      </c>
      <c r="K11" s="325">
        <v>5.0000000000000001E-3</v>
      </c>
      <c r="L11" s="326">
        <v>7850</v>
      </c>
      <c r="M11" s="326">
        <v>1</v>
      </c>
      <c r="N11" s="327">
        <f>IF(J11="",D11*M11,D11*J11*K11*L11*M11)</f>
        <v>0.11215687500000002</v>
      </c>
      <c r="O11" s="276"/>
    </row>
    <row r="12" spans="1:15" x14ac:dyDescent="0.3">
      <c r="A12" s="295">
        <v>20</v>
      </c>
      <c r="B12" s="319" t="s">
        <v>281</v>
      </c>
      <c r="C12" s="320"/>
      <c r="D12" s="328">
        <v>10</v>
      </c>
      <c r="E12" s="329">
        <f>2*J11</f>
        <v>2.5400000000000002E-3</v>
      </c>
      <c r="F12" s="330" t="s">
        <v>276</v>
      </c>
      <c r="G12" s="322"/>
      <c r="H12" s="323"/>
      <c r="I12" s="324"/>
      <c r="J12" s="325"/>
      <c r="K12" s="323"/>
      <c r="L12" s="326"/>
      <c r="M12" s="326"/>
      <c r="N12" s="327">
        <f>E12*D12</f>
        <v>2.5400000000000002E-2</v>
      </c>
      <c r="O12" s="276"/>
    </row>
    <row r="13" spans="1:15" x14ac:dyDescent="0.3">
      <c r="A13" s="292"/>
      <c r="B13" s="293"/>
      <c r="C13" s="293"/>
      <c r="D13" s="293"/>
      <c r="E13" s="293"/>
      <c r="F13" s="293"/>
      <c r="G13" s="293"/>
      <c r="H13" s="293"/>
      <c r="I13" s="293"/>
      <c r="J13" s="293"/>
      <c r="K13" s="293"/>
      <c r="L13" s="293"/>
      <c r="M13" s="301" t="s">
        <v>18</v>
      </c>
      <c r="N13" s="300">
        <f>SUM(N11:N12)</f>
        <v>0.13755687500000002</v>
      </c>
      <c r="O13" s="276"/>
    </row>
    <row r="14" spans="1:15" x14ac:dyDescent="0.3">
      <c r="A14" s="291"/>
      <c r="B14" s="275"/>
      <c r="C14" s="275"/>
      <c r="D14" s="275"/>
      <c r="E14" s="275"/>
      <c r="F14" s="275"/>
      <c r="G14" s="275"/>
      <c r="H14" s="275"/>
      <c r="I14" s="275"/>
      <c r="J14" s="275"/>
      <c r="K14" s="275"/>
      <c r="L14" s="275"/>
      <c r="M14" s="275"/>
      <c r="N14" s="275"/>
      <c r="O14" s="276"/>
    </row>
    <row r="15" spans="1:15" x14ac:dyDescent="0.3">
      <c r="A15" s="318" t="s">
        <v>14</v>
      </c>
      <c r="B15" s="299" t="s">
        <v>31</v>
      </c>
      <c r="C15" s="299" t="s">
        <v>20</v>
      </c>
      <c r="D15" s="299" t="s">
        <v>21</v>
      </c>
      <c r="E15" s="299" t="s">
        <v>32</v>
      </c>
      <c r="F15" s="299" t="s">
        <v>17</v>
      </c>
      <c r="G15" s="299" t="s">
        <v>33</v>
      </c>
      <c r="H15" s="299" t="s">
        <v>34</v>
      </c>
      <c r="I15" s="299" t="s">
        <v>18</v>
      </c>
      <c r="J15" s="293"/>
      <c r="K15" s="293"/>
      <c r="L15" s="293"/>
      <c r="M15" s="293"/>
      <c r="N15" s="293"/>
      <c r="O15" s="276"/>
    </row>
    <row r="16" spans="1:15" ht="28.2" customHeight="1" x14ac:dyDescent="0.3">
      <c r="A16" s="331">
        <v>10</v>
      </c>
      <c r="B16" s="310" t="s">
        <v>39</v>
      </c>
      <c r="C16" s="332" t="s">
        <v>282</v>
      </c>
      <c r="D16" s="333">
        <v>1.3</v>
      </c>
      <c r="E16" s="310" t="s">
        <v>32</v>
      </c>
      <c r="F16" s="311">
        <v>1</v>
      </c>
      <c r="G16" s="332" t="s">
        <v>294</v>
      </c>
      <c r="H16" s="334">
        <v>0.5</v>
      </c>
      <c r="I16" s="306">
        <f>H16*D16</f>
        <v>0.65</v>
      </c>
      <c r="J16" s="311"/>
      <c r="K16" s="275"/>
      <c r="L16" s="275"/>
      <c r="M16" s="275"/>
      <c r="N16" s="275"/>
      <c r="O16" s="276"/>
    </row>
    <row r="17" spans="1:15" x14ac:dyDescent="0.3">
      <c r="A17" s="335">
        <v>20</v>
      </c>
      <c r="B17" s="307" t="s">
        <v>283</v>
      </c>
      <c r="C17" s="308"/>
      <c r="D17" s="333">
        <v>0.01</v>
      </c>
      <c r="E17" s="307" t="s">
        <v>40</v>
      </c>
      <c r="F17" s="337">
        <v>11.5</v>
      </c>
      <c r="G17" s="310"/>
      <c r="H17" s="334"/>
      <c r="I17" s="306">
        <f>IF(H17="",D17*F17,D17*F17*H17)</f>
        <v>0.115</v>
      </c>
      <c r="J17" s="311"/>
      <c r="K17" s="275"/>
      <c r="L17" s="275"/>
      <c r="M17" s="275"/>
      <c r="N17" s="275"/>
      <c r="O17" s="276"/>
    </row>
    <row r="18" spans="1:15" ht="43.2" x14ac:dyDescent="0.3">
      <c r="A18" s="331">
        <v>30</v>
      </c>
      <c r="B18" s="336" t="s">
        <v>39</v>
      </c>
      <c r="C18" s="309"/>
      <c r="D18" s="312">
        <v>0.65</v>
      </c>
      <c r="E18" s="309" t="s">
        <v>32</v>
      </c>
      <c r="F18" s="309">
        <v>1</v>
      </c>
      <c r="G18" s="332" t="s">
        <v>294</v>
      </c>
      <c r="H18" s="309">
        <v>0.5</v>
      </c>
      <c r="I18" s="313">
        <f t="shared" ref="I18:I19" si="0">IF(H18="",D18*F18,D18*F18*H18)</f>
        <v>0.32500000000000001</v>
      </c>
      <c r="J18" s="311"/>
      <c r="K18" s="275"/>
      <c r="L18" s="275"/>
      <c r="M18" s="275"/>
      <c r="N18" s="275"/>
      <c r="O18" s="276"/>
    </row>
    <row r="19" spans="1:15" x14ac:dyDescent="0.3">
      <c r="A19" s="335">
        <v>40</v>
      </c>
      <c r="B19" s="309" t="s">
        <v>159</v>
      </c>
      <c r="C19" s="309" t="s">
        <v>293</v>
      </c>
      <c r="D19" s="312">
        <v>2.9000000000000001E-2</v>
      </c>
      <c r="E19" s="309" t="s">
        <v>161</v>
      </c>
      <c r="F19" s="309">
        <v>1</v>
      </c>
      <c r="G19" s="309" t="s">
        <v>268</v>
      </c>
      <c r="H19" s="309">
        <v>3</v>
      </c>
      <c r="I19" s="313">
        <f t="shared" si="0"/>
        <v>8.7000000000000008E-2</v>
      </c>
      <c r="J19" s="314"/>
      <c r="K19" s="293"/>
      <c r="L19" s="293"/>
      <c r="M19" s="293"/>
      <c r="N19" s="293"/>
      <c r="O19" s="276"/>
    </row>
    <row r="20" spans="1:15" x14ac:dyDescent="0.3">
      <c r="A20" s="331">
        <v>50</v>
      </c>
      <c r="B20" s="310" t="s">
        <v>233</v>
      </c>
      <c r="C20" s="308" t="s">
        <v>284</v>
      </c>
      <c r="D20" s="315">
        <v>5.25</v>
      </c>
      <c r="E20" s="310" t="s">
        <v>276</v>
      </c>
      <c r="F20" s="465">
        <f>2*J11</f>
        <v>2.5400000000000002E-3</v>
      </c>
      <c r="G20" s="310"/>
      <c r="H20" s="334"/>
      <c r="I20" s="313">
        <f>F20*D20</f>
        <v>1.3335000000000001E-2</v>
      </c>
      <c r="J20" s="316"/>
      <c r="K20" s="56"/>
      <c r="L20" s="56"/>
      <c r="M20" s="56"/>
      <c r="N20" s="56"/>
      <c r="O20" s="276"/>
    </row>
    <row r="21" spans="1:15" x14ac:dyDescent="0.3">
      <c r="A21" s="292"/>
      <c r="B21" s="293"/>
      <c r="C21" s="293"/>
      <c r="D21" s="293"/>
      <c r="E21" s="293"/>
      <c r="F21" s="293"/>
      <c r="G21" s="293"/>
      <c r="H21" s="301" t="s">
        <v>18</v>
      </c>
      <c r="I21" s="302">
        <f>SUM(I16:I20)</f>
        <v>1.1903350000000001</v>
      </c>
      <c r="J21" s="56"/>
      <c r="K21" s="56"/>
      <c r="L21" s="56"/>
      <c r="M21" s="56"/>
      <c r="N21" s="56"/>
      <c r="O21" s="276"/>
    </row>
    <row r="22" spans="1:15" ht="15" thickBot="1" x14ac:dyDescent="0.35">
      <c r="A22" s="296"/>
      <c r="B22" s="297"/>
      <c r="C22" s="297"/>
      <c r="D22" s="297"/>
      <c r="E22" s="297"/>
      <c r="F22" s="297"/>
      <c r="G22" s="297"/>
      <c r="H22" s="297"/>
      <c r="I22" s="297"/>
      <c r="J22" s="297"/>
      <c r="K22" s="297"/>
      <c r="L22" s="297"/>
      <c r="M22" s="297"/>
      <c r="N22" s="297"/>
      <c r="O22" s="298"/>
    </row>
  </sheetData>
  <hyperlinks>
    <hyperlink ref="B4" location="'SU A0100'!A1" display="'SU A0100'!A1"/>
    <hyperlink ref="F2" location="SU_A0100_BOM" display="Back to BOM"/>
    <hyperlink ref="E3" location="dSU_01011" display="Drawing"/>
  </hyperlinks>
  <pageMargins left="0.7" right="0.7" top="0.75" bottom="0.75" header="0.3" footer="0.3"/>
  <pageSetup paperSize="9" orientation="portrait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2.6640625" customWidth="1"/>
  </cols>
  <sheetData>
    <row r="1" spans="1:2" x14ac:dyDescent="0.3">
      <c r="A1" t="s">
        <v>195</v>
      </c>
      <c r="B1" s="287" t="s">
        <v>288</v>
      </c>
    </row>
  </sheetData>
  <hyperlinks>
    <hyperlink ref="B1" location="SU_01011" display="SU_01011"/>
  </hyperlinks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80" zoomScaleNormal="80" zoomScaleSheetLayoutView="80" workbookViewId="0">
      <selection activeCell="B16" sqref="B16"/>
    </sheetView>
  </sheetViews>
  <sheetFormatPr baseColWidth="10" defaultColWidth="9.109375" defaultRowHeight="14.4" x14ac:dyDescent="0.3"/>
  <cols>
    <col min="2" max="2" width="57.109375" customWidth="1"/>
    <col min="3" max="3" width="49.21875" customWidth="1"/>
    <col min="5" max="5" width="9.88671875" customWidth="1"/>
    <col min="14" max="14" width="11.5546875" customWidth="1"/>
    <col min="15" max="15" width="5.33203125" customWidth="1"/>
  </cols>
  <sheetData>
    <row r="1" spans="1:15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5" x14ac:dyDescent="0.3">
      <c r="A2" s="480" t="s">
        <v>0</v>
      </c>
      <c r="B2" s="351" t="s">
        <v>37</v>
      </c>
      <c r="C2" s="352"/>
      <c r="D2" s="352"/>
      <c r="E2" s="353" t="s">
        <v>126</v>
      </c>
      <c r="F2" s="352"/>
      <c r="G2" s="352"/>
      <c r="H2" s="352"/>
      <c r="I2" s="352"/>
      <c r="J2" s="480" t="s">
        <v>1</v>
      </c>
      <c r="K2" s="355">
        <v>81</v>
      </c>
      <c r="L2" s="352"/>
      <c r="M2" s="480" t="s">
        <v>2</v>
      </c>
      <c r="N2" s="481">
        <f>SU_A0200_pa+SU_A0200_m+SU_A0200_p+SU_A0200_f</f>
        <v>82.266310687787325</v>
      </c>
      <c r="O2" s="357"/>
    </row>
    <row r="3" spans="1:15" x14ac:dyDescent="0.3">
      <c r="A3" s="480" t="s">
        <v>3</v>
      </c>
      <c r="B3" s="351" t="s">
        <v>129</v>
      </c>
      <c r="C3" s="352"/>
      <c r="D3" s="352"/>
      <c r="E3" s="352"/>
      <c r="F3" s="352"/>
      <c r="G3" s="352"/>
      <c r="H3" s="352"/>
      <c r="I3" s="352"/>
      <c r="J3" s="352"/>
      <c r="K3" s="352"/>
      <c r="L3" s="352"/>
      <c r="M3" s="480" t="s">
        <v>4</v>
      </c>
      <c r="N3" s="359">
        <v>2</v>
      </c>
      <c r="O3" s="357"/>
    </row>
    <row r="4" spans="1:15" x14ac:dyDescent="0.3">
      <c r="A4" s="480" t="s">
        <v>5</v>
      </c>
      <c r="B4" s="352" t="s">
        <v>176</v>
      </c>
      <c r="C4" s="352"/>
      <c r="D4" s="352"/>
      <c r="E4" s="352"/>
      <c r="F4" s="352"/>
      <c r="G4" s="352"/>
      <c r="H4" s="352"/>
      <c r="I4" s="352"/>
      <c r="J4" s="482" t="s">
        <v>6</v>
      </c>
      <c r="K4" s="352"/>
      <c r="L4" s="352"/>
      <c r="M4" s="352"/>
      <c r="N4" s="352"/>
      <c r="O4" s="357"/>
    </row>
    <row r="5" spans="1:15" x14ac:dyDescent="0.3">
      <c r="A5" s="480" t="s">
        <v>7</v>
      </c>
      <c r="B5" s="395" t="s">
        <v>177</v>
      </c>
      <c r="C5" s="352"/>
      <c r="D5" s="352"/>
      <c r="E5" s="352"/>
      <c r="F5" s="352"/>
      <c r="G5" s="352"/>
      <c r="H5" s="352"/>
      <c r="I5" s="352"/>
      <c r="J5" s="482" t="s">
        <v>8</v>
      </c>
      <c r="K5" s="352"/>
      <c r="L5" s="352"/>
      <c r="M5" s="480" t="s">
        <v>9</v>
      </c>
      <c r="N5" s="356">
        <f>N2*N3</f>
        <v>164.53262137557465</v>
      </c>
      <c r="O5" s="357"/>
    </row>
    <row r="6" spans="1:15" x14ac:dyDescent="0.3">
      <c r="A6" s="480" t="s">
        <v>10</v>
      </c>
      <c r="B6" s="351"/>
      <c r="C6" s="352"/>
      <c r="D6" s="352"/>
      <c r="E6" s="352"/>
      <c r="F6" s="352"/>
      <c r="G6" s="352"/>
      <c r="H6" s="352"/>
      <c r="I6" s="352"/>
      <c r="J6" s="482" t="s">
        <v>12</v>
      </c>
      <c r="K6" s="352"/>
      <c r="L6" s="352"/>
      <c r="M6" s="352"/>
      <c r="N6" s="352"/>
      <c r="O6" s="357"/>
    </row>
    <row r="7" spans="1:15" x14ac:dyDescent="0.3">
      <c r="A7" s="480" t="s">
        <v>13</v>
      </c>
      <c r="B7" s="351"/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5" x14ac:dyDescent="0.3">
      <c r="A8" s="385"/>
      <c r="B8" s="352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5" x14ac:dyDescent="0.3">
      <c r="A9" s="480" t="s">
        <v>14</v>
      </c>
      <c r="B9" s="480" t="s">
        <v>15</v>
      </c>
      <c r="C9" s="480" t="s">
        <v>16</v>
      </c>
      <c r="D9" s="480" t="s">
        <v>17</v>
      </c>
      <c r="E9" s="480" t="s">
        <v>18</v>
      </c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5" x14ac:dyDescent="0.3">
      <c r="A10" s="402">
        <v>10</v>
      </c>
      <c r="B10" s="483" t="str">
        <f>'SU 02001'!B5</f>
        <v>Lower Front Bearing Support</v>
      </c>
      <c r="C10" s="356">
        <f>'SU 02001'!N2</f>
        <v>9.1140000000000008</v>
      </c>
      <c r="D10" s="484">
        <f>SU_02001_q</f>
        <v>1</v>
      </c>
      <c r="E10" s="356">
        <f t="shared" ref="E10:E20" si="0">C10*D10</f>
        <v>9.1140000000000008</v>
      </c>
      <c r="F10" s="352"/>
      <c r="G10" s="352"/>
      <c r="H10" s="352"/>
      <c r="I10" s="352"/>
      <c r="J10" s="352"/>
      <c r="K10" s="352"/>
      <c r="L10" s="352"/>
      <c r="M10" s="352"/>
      <c r="N10" s="352"/>
      <c r="O10" s="357"/>
    </row>
    <row r="11" spans="1:15" x14ac:dyDescent="0.3">
      <c r="A11" s="402">
        <v>20</v>
      </c>
      <c r="B11" s="483" t="str">
        <f>'SU 02002'!B5</f>
        <v>Inner Bearing Support</v>
      </c>
      <c r="C11" s="356">
        <f>'SU 02002'!N2</f>
        <v>3.3353805440000004</v>
      </c>
      <c r="D11" s="402">
        <f>SU_02002_q</f>
        <v>2</v>
      </c>
      <c r="E11" s="356">
        <f t="shared" si="0"/>
        <v>6.6707610880000008</v>
      </c>
      <c r="F11" s="352"/>
      <c r="G11" s="352"/>
      <c r="H11" s="352"/>
      <c r="I11" s="352"/>
      <c r="J11" s="352"/>
      <c r="K11" s="352"/>
      <c r="L11" s="352"/>
      <c r="M11" s="352"/>
      <c r="N11" s="352"/>
      <c r="O11" s="357"/>
    </row>
    <row r="12" spans="1:15" x14ac:dyDescent="0.3">
      <c r="A12" s="402">
        <v>30</v>
      </c>
      <c r="B12" s="483" t="str">
        <f>'SU 02003'!B5</f>
        <v>Lower Front A-arm tube (Front)  Carbon Fiber Tube</v>
      </c>
      <c r="C12" s="356">
        <f>'SU 02003'!N2</f>
        <v>11.220746039999998</v>
      </c>
      <c r="D12" s="484">
        <f>SU_02003_q</f>
        <v>1</v>
      </c>
      <c r="E12" s="356">
        <f t="shared" si="0"/>
        <v>11.220746039999998</v>
      </c>
      <c r="F12" s="352"/>
      <c r="G12" s="352"/>
      <c r="H12" s="352"/>
      <c r="I12" s="352"/>
      <c r="J12" s="352"/>
      <c r="K12" s="352"/>
      <c r="L12" s="352"/>
      <c r="M12" s="352"/>
      <c r="N12" s="352"/>
      <c r="O12" s="485"/>
    </row>
    <row r="13" spans="1:15" s="17" customFormat="1" x14ac:dyDescent="0.3">
      <c r="A13" s="402">
        <v>40</v>
      </c>
      <c r="B13" s="483" t="str">
        <f>'SU 02004'!B5</f>
        <v>Lower Front A-arm tube (Back)  Carbon Fiber Tube</v>
      </c>
      <c r="C13" s="356">
        <f>'SU 02004'!N2</f>
        <v>10.001779199999998</v>
      </c>
      <c r="D13" s="402">
        <f>SU_02004_q</f>
        <v>1</v>
      </c>
      <c r="E13" s="356">
        <f t="shared" si="0"/>
        <v>10.001779199999998</v>
      </c>
      <c r="F13" s="352"/>
      <c r="G13" s="352"/>
      <c r="H13" s="352"/>
      <c r="I13" s="352"/>
      <c r="J13" s="352"/>
      <c r="K13" s="352"/>
      <c r="L13" s="352"/>
      <c r="M13" s="352"/>
      <c r="N13" s="352"/>
      <c r="O13" s="485"/>
    </row>
    <row r="14" spans="1:15" s="17" customFormat="1" x14ac:dyDescent="0.3">
      <c r="A14" s="402">
        <v>50</v>
      </c>
      <c r="B14" s="483" t="str">
        <f>'SU 02005'!B5</f>
        <v>Spacer 1</v>
      </c>
      <c r="C14" s="356">
        <f>'SU 02005'!N2</f>
        <v>1.0541703760000001</v>
      </c>
      <c r="D14" s="484">
        <f>SU_02005_q</f>
        <v>2</v>
      </c>
      <c r="E14" s="356">
        <f t="shared" si="0"/>
        <v>2.1083407520000002</v>
      </c>
      <c r="F14" s="352"/>
      <c r="G14" s="352"/>
      <c r="H14" s="352"/>
      <c r="I14" s="352"/>
      <c r="J14" s="352"/>
      <c r="K14" s="352"/>
      <c r="L14" s="352"/>
      <c r="M14" s="352"/>
      <c r="N14" s="352"/>
      <c r="O14" s="357"/>
    </row>
    <row r="15" spans="1:15" s="17" customFormat="1" x14ac:dyDescent="0.3">
      <c r="A15" s="402">
        <v>60</v>
      </c>
      <c r="B15" s="483" t="str">
        <f>'SU 02006'!B5</f>
        <v>Spacer 2</v>
      </c>
      <c r="C15" s="356">
        <f>'SU 02006'!N2</f>
        <v>1.1551782399999999</v>
      </c>
      <c r="D15" s="402">
        <f>SU_02006_q</f>
        <v>4</v>
      </c>
      <c r="E15" s="356">
        <f t="shared" si="0"/>
        <v>4.6207129599999996</v>
      </c>
      <c r="F15" s="352"/>
      <c r="G15" s="352"/>
      <c r="H15" s="352"/>
      <c r="I15" s="352"/>
      <c r="J15" s="352"/>
      <c r="K15" s="352"/>
      <c r="L15" s="352"/>
      <c r="M15" s="352"/>
      <c r="N15" s="352"/>
      <c r="O15" s="357"/>
    </row>
    <row r="16" spans="1:15" s="17" customFormat="1" x14ac:dyDescent="0.3">
      <c r="A16" s="487">
        <v>70</v>
      </c>
      <c r="B16" s="511" t="str">
        <f>'SU 02007'!B5</f>
        <v>Outboard A-arm Insert</v>
      </c>
      <c r="C16" s="490">
        <f>'SU 02007'!N2</f>
        <v>0.47719727680000001</v>
      </c>
      <c r="D16" s="512">
        <f>SU_02007_q</f>
        <v>2</v>
      </c>
      <c r="E16" s="490">
        <f t="shared" si="0"/>
        <v>0.95439455360000003</v>
      </c>
      <c r="F16" s="352"/>
      <c r="G16" s="352"/>
      <c r="H16" s="352"/>
      <c r="I16" s="352"/>
      <c r="J16" s="352"/>
      <c r="K16" s="352"/>
      <c r="L16" s="352"/>
      <c r="M16" s="352"/>
      <c r="N16" s="352"/>
      <c r="O16" s="357"/>
    </row>
    <row r="17" spans="1:15" s="17" customFormat="1" x14ac:dyDescent="0.3">
      <c r="A17" s="496">
        <v>80</v>
      </c>
      <c r="B17" s="576" t="str">
        <f>'SU 02008'!B5</f>
        <v>Front up bracket</v>
      </c>
      <c r="C17" s="502">
        <f>'SU 02008'!N2</f>
        <v>1.3868720000000001</v>
      </c>
      <c r="D17" s="486">
        <f>SU_02008_q</f>
        <v>1</v>
      </c>
      <c r="E17" s="502">
        <f t="shared" si="0"/>
        <v>1.3868720000000001</v>
      </c>
      <c r="F17" s="352"/>
      <c r="G17" s="352"/>
      <c r="H17" s="352"/>
      <c r="I17" s="352"/>
      <c r="J17" s="352"/>
      <c r="K17" s="352"/>
      <c r="L17" s="352"/>
      <c r="M17" s="352"/>
      <c r="N17" s="352"/>
      <c r="O17" s="357"/>
    </row>
    <row r="18" spans="1:15" s="17" customFormat="1" x14ac:dyDescent="0.3">
      <c r="A18" s="496">
        <v>90</v>
      </c>
      <c r="B18" s="576" t="str">
        <f>'SU 02009'!B5</f>
        <v>Front down bracket</v>
      </c>
      <c r="C18" s="502">
        <f>'SU 02009'!N2</f>
        <v>1.4357435000000001</v>
      </c>
      <c r="D18" s="486">
        <f>SU_02009_q</f>
        <v>1</v>
      </c>
      <c r="E18" s="502">
        <f t="shared" si="0"/>
        <v>1.4357435000000001</v>
      </c>
      <c r="F18" s="352"/>
      <c r="G18" s="352"/>
      <c r="H18" s="352"/>
      <c r="I18" s="352"/>
      <c r="J18" s="352"/>
      <c r="K18" s="352"/>
      <c r="L18" s="352"/>
      <c r="M18" s="352"/>
      <c r="N18" s="352"/>
      <c r="O18" s="357"/>
    </row>
    <row r="19" spans="1:15" s="17" customFormat="1" x14ac:dyDescent="0.3">
      <c r="A19" s="496">
        <v>100</v>
      </c>
      <c r="B19" s="576" t="str">
        <f>'SU 02010'!B5</f>
        <v>Rear Up bracket</v>
      </c>
      <c r="C19" s="502">
        <f>'SU 02010'!N2</f>
        <v>1.3315549999999998</v>
      </c>
      <c r="D19" s="486">
        <f>SU_02010_q</f>
        <v>1</v>
      </c>
      <c r="E19" s="502">
        <f t="shared" si="0"/>
        <v>1.3315549999999998</v>
      </c>
      <c r="F19" s="352"/>
      <c r="G19" s="352"/>
      <c r="H19" s="352"/>
      <c r="I19" s="352"/>
      <c r="J19" s="352"/>
      <c r="K19" s="352"/>
      <c r="L19" s="352"/>
      <c r="M19" s="352"/>
      <c r="N19" s="352"/>
      <c r="O19" s="357"/>
    </row>
    <row r="20" spans="1:15" s="17" customFormat="1" x14ac:dyDescent="0.3">
      <c r="A20" s="496">
        <v>110</v>
      </c>
      <c r="B20" s="576" t="str">
        <f>'SU 02011'!B5</f>
        <v>Rear down bracket</v>
      </c>
      <c r="C20" s="502">
        <f>'SU 02011'!N2</f>
        <v>1.41506025</v>
      </c>
      <c r="D20" s="486">
        <f>SU_02011_q</f>
        <v>1</v>
      </c>
      <c r="E20" s="502">
        <f t="shared" si="0"/>
        <v>1.41506025</v>
      </c>
      <c r="F20" s="352"/>
      <c r="G20" s="352"/>
      <c r="H20" s="352"/>
      <c r="I20" s="352"/>
      <c r="J20" s="352"/>
      <c r="K20" s="352"/>
      <c r="L20" s="352"/>
      <c r="M20" s="352"/>
      <c r="N20" s="352"/>
      <c r="O20" s="357"/>
    </row>
    <row r="21" spans="1:15" x14ac:dyDescent="0.3">
      <c r="A21" s="385"/>
      <c r="B21" s="352"/>
      <c r="C21" s="352"/>
      <c r="D21" s="513" t="s">
        <v>18</v>
      </c>
      <c r="E21" s="495">
        <f>SUM(E10:E16)</f>
        <v>44.690734593599991</v>
      </c>
      <c r="F21" s="352"/>
      <c r="G21" s="352"/>
      <c r="H21" s="352"/>
      <c r="I21" s="352"/>
      <c r="J21" s="352"/>
      <c r="K21" s="352"/>
      <c r="L21" s="352"/>
      <c r="M21" s="352"/>
      <c r="N21" s="352"/>
      <c r="O21" s="357"/>
    </row>
    <row r="22" spans="1:15" x14ac:dyDescent="0.3">
      <c r="A22" s="385"/>
      <c r="B22" s="352"/>
      <c r="C22" s="352"/>
      <c r="D22" s="352"/>
      <c r="E22" s="352"/>
      <c r="F22" s="352"/>
      <c r="G22" s="352"/>
      <c r="H22" s="352"/>
      <c r="I22" s="352"/>
      <c r="J22" s="352"/>
      <c r="K22" s="352"/>
      <c r="L22" s="352"/>
      <c r="M22" s="352"/>
      <c r="N22" s="352"/>
      <c r="O22" s="357"/>
    </row>
    <row r="23" spans="1:15" x14ac:dyDescent="0.3">
      <c r="A23" s="493" t="s">
        <v>14</v>
      </c>
      <c r="B23" s="493" t="s">
        <v>19</v>
      </c>
      <c r="C23" s="493" t="s">
        <v>20</v>
      </c>
      <c r="D23" s="493" t="s">
        <v>21</v>
      </c>
      <c r="E23" s="493" t="s">
        <v>22</v>
      </c>
      <c r="F23" s="493" t="s">
        <v>23</v>
      </c>
      <c r="G23" s="493" t="s">
        <v>24</v>
      </c>
      <c r="H23" s="493" t="s">
        <v>25</v>
      </c>
      <c r="I23" s="493" t="s">
        <v>26</v>
      </c>
      <c r="J23" s="493" t="s">
        <v>27</v>
      </c>
      <c r="K23" s="493" t="s">
        <v>28</v>
      </c>
      <c r="L23" s="493" t="s">
        <v>29</v>
      </c>
      <c r="M23" s="493" t="s">
        <v>17</v>
      </c>
      <c r="N23" s="493" t="s">
        <v>18</v>
      </c>
      <c r="O23" s="357"/>
    </row>
    <row r="24" spans="1:15" ht="14.4" customHeight="1" x14ac:dyDescent="0.3">
      <c r="A24" s="496">
        <v>10</v>
      </c>
      <c r="B24" s="496" t="s">
        <v>131</v>
      </c>
      <c r="C24" s="496"/>
      <c r="D24" s="497">
        <f>0.03*E24^2+5</f>
        <v>6.92</v>
      </c>
      <c r="E24" s="496">
        <v>8</v>
      </c>
      <c r="F24" s="496" t="s">
        <v>30</v>
      </c>
      <c r="G24" s="496"/>
      <c r="H24" s="498"/>
      <c r="I24" s="499"/>
      <c r="J24" s="500"/>
      <c r="K24" s="498"/>
      <c r="L24" s="498"/>
      <c r="M24" s="501">
        <v>3</v>
      </c>
      <c r="N24" s="502">
        <f>M24*D24</f>
        <v>20.759999999999998</v>
      </c>
      <c r="O24" s="357"/>
    </row>
    <row r="25" spans="1:15" s="22" customFormat="1" ht="14.4" customHeight="1" x14ac:dyDescent="0.3">
      <c r="A25" s="496">
        <v>20</v>
      </c>
      <c r="B25" s="503" t="s">
        <v>136</v>
      </c>
      <c r="C25" s="504" t="s">
        <v>137</v>
      </c>
      <c r="D25" s="502"/>
      <c r="E25" s="505"/>
      <c r="F25" s="505">
        <v>95</v>
      </c>
      <c r="G25" s="505"/>
      <c r="H25" s="498"/>
      <c r="I25" s="506"/>
      <c r="J25" s="507"/>
      <c r="K25" s="508"/>
      <c r="L25" s="509"/>
      <c r="M25" s="510"/>
      <c r="N25" s="502">
        <f>M25*D25</f>
        <v>0</v>
      </c>
      <c r="O25" s="380"/>
    </row>
    <row r="26" spans="1:15" ht="31.8" customHeight="1" x14ac:dyDescent="0.3">
      <c r="A26" s="496">
        <v>30</v>
      </c>
      <c r="B26" s="503" t="s">
        <v>136</v>
      </c>
      <c r="C26" s="504" t="s">
        <v>138</v>
      </c>
      <c r="D26" s="502"/>
      <c r="E26" s="496"/>
      <c r="F26" s="496"/>
      <c r="G26" s="496"/>
      <c r="H26" s="498"/>
      <c r="I26" s="510"/>
      <c r="J26" s="501"/>
      <c r="K26" s="498"/>
      <c r="L26" s="509"/>
      <c r="M26" s="498"/>
      <c r="N26" s="502">
        <f>M26*D26</f>
        <v>0</v>
      </c>
      <c r="O26" s="357"/>
    </row>
    <row r="27" spans="1:15" x14ac:dyDescent="0.3">
      <c r="A27" s="381"/>
      <c r="B27" s="382"/>
      <c r="C27" s="382"/>
      <c r="D27" s="382"/>
      <c r="E27" s="382"/>
      <c r="F27" s="382"/>
      <c r="G27" s="382"/>
      <c r="H27" s="382"/>
      <c r="I27" s="382"/>
      <c r="J27" s="382"/>
      <c r="K27" s="382"/>
      <c r="L27" s="382"/>
      <c r="M27" s="494" t="s">
        <v>18</v>
      </c>
      <c r="N27" s="495">
        <f>SUM(N24:N26)</f>
        <v>20.759999999999998</v>
      </c>
      <c r="O27" s="357"/>
    </row>
    <row r="28" spans="1:15" x14ac:dyDescent="0.3">
      <c r="A28" s="385"/>
      <c r="B28" s="352"/>
      <c r="C28" s="352"/>
      <c r="D28" s="352"/>
      <c r="E28" s="352"/>
      <c r="F28" s="352"/>
      <c r="G28" s="352"/>
      <c r="H28" s="352"/>
      <c r="I28" s="352"/>
      <c r="J28" s="352"/>
      <c r="K28" s="352"/>
      <c r="L28" s="352"/>
      <c r="M28" s="352"/>
      <c r="N28" s="352"/>
      <c r="O28" s="357"/>
    </row>
    <row r="29" spans="1:15" s="25" customFormat="1" x14ac:dyDescent="0.3">
      <c r="A29" s="480" t="s">
        <v>14</v>
      </c>
      <c r="B29" s="480" t="s">
        <v>31</v>
      </c>
      <c r="C29" s="480" t="s">
        <v>20</v>
      </c>
      <c r="D29" s="480" t="s">
        <v>21</v>
      </c>
      <c r="E29" s="480" t="s">
        <v>32</v>
      </c>
      <c r="F29" s="480" t="s">
        <v>17</v>
      </c>
      <c r="G29" s="480" t="s">
        <v>33</v>
      </c>
      <c r="H29" s="480" t="s">
        <v>34</v>
      </c>
      <c r="I29" s="480" t="s">
        <v>18</v>
      </c>
      <c r="J29" s="382"/>
      <c r="K29" s="382"/>
      <c r="L29" s="382"/>
      <c r="M29" s="382"/>
      <c r="N29" s="382"/>
      <c r="O29" s="389"/>
    </row>
    <row r="30" spans="1:15" s="184" customFormat="1" x14ac:dyDescent="0.3">
      <c r="A30" s="226">
        <v>10</v>
      </c>
      <c r="B30" s="288" t="s">
        <v>142</v>
      </c>
      <c r="C30" s="227" t="s">
        <v>240</v>
      </c>
      <c r="D30" s="285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85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88" t="s">
        <v>139</v>
      </c>
      <c r="C31" s="227" t="s">
        <v>241</v>
      </c>
      <c r="D31" s="285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85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88" t="s">
        <v>142</v>
      </c>
      <c r="C32" s="227" t="s">
        <v>243</v>
      </c>
      <c r="D32" s="285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85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88" t="s">
        <v>225</v>
      </c>
      <c r="C33" s="232" t="s">
        <v>245</v>
      </c>
      <c r="D33" s="285">
        <v>0.06</v>
      </c>
      <c r="E33" s="288" t="s">
        <v>32</v>
      </c>
      <c r="F33" s="237">
        <v>1</v>
      </c>
      <c r="G33" s="237" t="s">
        <v>224</v>
      </c>
      <c r="H33" s="237">
        <v>2</v>
      </c>
      <c r="I33" s="285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88" t="s">
        <v>142</v>
      </c>
      <c r="C34" s="227" t="s">
        <v>246</v>
      </c>
      <c r="D34" s="285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85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88" t="s">
        <v>139</v>
      </c>
      <c r="C35" s="227" t="s">
        <v>247</v>
      </c>
      <c r="D35" s="285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85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88" t="s">
        <v>142</v>
      </c>
      <c r="C36" s="227" t="s">
        <v>226</v>
      </c>
      <c r="D36" s="285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85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88" t="s">
        <v>225</v>
      </c>
      <c r="C37" s="232" t="s">
        <v>248</v>
      </c>
      <c r="D37" s="285">
        <v>0.14000000000000001</v>
      </c>
      <c r="E37" s="288" t="s">
        <v>32</v>
      </c>
      <c r="F37" s="237">
        <v>1</v>
      </c>
      <c r="G37" s="237" t="s">
        <v>224</v>
      </c>
      <c r="H37" s="237">
        <v>2</v>
      </c>
      <c r="I37" s="285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88" t="s">
        <v>142</v>
      </c>
      <c r="C38" s="227" t="s">
        <v>242</v>
      </c>
      <c r="D38" s="285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85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88" t="s">
        <v>139</v>
      </c>
      <c r="C39" s="227" t="s">
        <v>244</v>
      </c>
      <c r="D39" s="285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85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88" t="s">
        <v>142</v>
      </c>
      <c r="C40" s="227" t="s">
        <v>226</v>
      </c>
      <c r="D40" s="285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85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ht="28.8" x14ac:dyDescent="0.3">
      <c r="A41" s="226">
        <v>120</v>
      </c>
      <c r="B41" s="288" t="s">
        <v>225</v>
      </c>
      <c r="C41" s="232" t="s">
        <v>249</v>
      </c>
      <c r="D41" s="285">
        <v>0.22</v>
      </c>
      <c r="E41" s="288" t="s">
        <v>32</v>
      </c>
      <c r="F41" s="237">
        <v>1</v>
      </c>
      <c r="G41" s="237" t="s">
        <v>224</v>
      </c>
      <c r="H41" s="237">
        <v>2</v>
      </c>
      <c r="I41" s="285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88" t="s">
        <v>142</v>
      </c>
      <c r="C42" s="227" t="s">
        <v>227</v>
      </c>
      <c r="D42" s="285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85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85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85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88" t="s">
        <v>225</v>
      </c>
      <c r="C44" s="227" t="s">
        <v>230</v>
      </c>
      <c r="D44" s="285">
        <v>0.3</v>
      </c>
      <c r="E44" s="288" t="s">
        <v>32</v>
      </c>
      <c r="F44" s="237">
        <v>1</v>
      </c>
      <c r="G44" s="237" t="s">
        <v>228</v>
      </c>
      <c r="H44" s="237">
        <v>3</v>
      </c>
      <c r="I44" s="285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85">
        <v>0.15</v>
      </c>
      <c r="E45" s="226" t="s">
        <v>140</v>
      </c>
      <c r="F45" s="237">
        <v>22</v>
      </c>
      <c r="G45" s="237"/>
      <c r="H45" s="221"/>
      <c r="I45" s="285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88" t="s">
        <v>233</v>
      </c>
      <c r="C46" s="232" t="s">
        <v>234</v>
      </c>
      <c r="D46" s="285">
        <v>5.25</v>
      </c>
      <c r="E46" s="288" t="s">
        <v>143</v>
      </c>
      <c r="F46" s="237">
        <v>0.01</v>
      </c>
      <c r="G46" s="237"/>
      <c r="H46" s="221"/>
      <c r="I46" s="285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85">
        <v>0.14000000000000001</v>
      </c>
      <c r="E47" s="226" t="s">
        <v>32</v>
      </c>
      <c r="F47" s="237">
        <v>1</v>
      </c>
      <c r="G47" s="237"/>
      <c r="H47" s="221"/>
      <c r="I47" s="285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88" t="s">
        <v>141</v>
      </c>
      <c r="C48" s="232" t="s">
        <v>236</v>
      </c>
      <c r="D48" s="285">
        <v>0.13</v>
      </c>
      <c r="E48" s="288" t="s">
        <v>32</v>
      </c>
      <c r="F48" s="237">
        <v>4</v>
      </c>
      <c r="G48" s="237"/>
      <c r="H48" s="221"/>
      <c r="I48" s="285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88" t="s">
        <v>141</v>
      </c>
      <c r="C49" s="232" t="s">
        <v>237</v>
      </c>
      <c r="D49" s="285">
        <v>0.13</v>
      </c>
      <c r="E49" s="288" t="s">
        <v>32</v>
      </c>
      <c r="F49" s="237">
        <v>8</v>
      </c>
      <c r="G49" s="237"/>
      <c r="H49" s="221"/>
      <c r="I49" s="285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85">
        <v>0.13</v>
      </c>
      <c r="E50" s="226" t="s">
        <v>32</v>
      </c>
      <c r="F50" s="237">
        <v>2</v>
      </c>
      <c r="G50" s="237"/>
      <c r="H50" s="221"/>
      <c r="I50" s="285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88" t="s">
        <v>145</v>
      </c>
      <c r="C51" s="232" t="s">
        <v>239</v>
      </c>
      <c r="D51" s="285">
        <v>0.25</v>
      </c>
      <c r="E51" s="288" t="s">
        <v>32</v>
      </c>
      <c r="F51" s="237">
        <v>2</v>
      </c>
      <c r="G51" s="237"/>
      <c r="H51" s="221"/>
      <c r="I51" s="285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381"/>
      <c r="B52" s="382"/>
      <c r="C52" s="382"/>
      <c r="D52" s="382"/>
      <c r="E52" s="382"/>
      <c r="F52" s="382"/>
      <c r="G52" s="382"/>
      <c r="H52" s="488" t="s">
        <v>18</v>
      </c>
      <c r="I52" s="489">
        <f>SUM(I30:I51)</f>
        <v>16.033700000000003</v>
      </c>
      <c r="J52" s="352"/>
      <c r="K52" s="352"/>
      <c r="L52" s="352"/>
      <c r="M52" s="352"/>
      <c r="N52" s="352"/>
      <c r="O52" s="357"/>
    </row>
    <row r="53" spans="1:15" x14ac:dyDescent="0.3">
      <c r="A53" s="385"/>
      <c r="B53" s="352"/>
      <c r="C53" s="352"/>
      <c r="D53" s="352"/>
      <c r="E53" s="352"/>
      <c r="F53" s="352"/>
      <c r="G53" s="352"/>
      <c r="H53" s="352"/>
      <c r="I53" s="352"/>
      <c r="J53" s="352"/>
      <c r="K53" s="352"/>
      <c r="L53" s="352"/>
      <c r="M53" s="352"/>
      <c r="N53" s="352"/>
      <c r="O53" s="357"/>
    </row>
    <row r="54" spans="1:15" x14ac:dyDescent="0.3">
      <c r="A54" s="480" t="s">
        <v>14</v>
      </c>
      <c r="B54" s="480" t="s">
        <v>36</v>
      </c>
      <c r="C54" s="480" t="s">
        <v>20</v>
      </c>
      <c r="D54" s="480" t="s">
        <v>21</v>
      </c>
      <c r="E54" s="480" t="s">
        <v>22</v>
      </c>
      <c r="F54" s="480" t="s">
        <v>23</v>
      </c>
      <c r="G54" s="480" t="s">
        <v>24</v>
      </c>
      <c r="H54" s="480" t="s">
        <v>25</v>
      </c>
      <c r="I54" s="480" t="s">
        <v>17</v>
      </c>
      <c r="J54" s="480" t="s">
        <v>18</v>
      </c>
      <c r="K54" s="352"/>
      <c r="L54" s="352"/>
      <c r="M54" s="352"/>
      <c r="N54" s="352"/>
      <c r="O54" s="357"/>
    </row>
    <row r="55" spans="1:15" x14ac:dyDescent="0.3">
      <c r="A55" s="402">
        <v>10</v>
      </c>
      <c r="B55" s="491" t="s">
        <v>296</v>
      </c>
      <c r="C55" s="402" t="s">
        <v>147</v>
      </c>
      <c r="D55" s="356">
        <f>0.8/105154*E55^2*G55*SQRT(G55)+(0.003*EXP(0.319*E55))</f>
        <v>0.16167651505774214</v>
      </c>
      <c r="E55" s="492">
        <v>8</v>
      </c>
      <c r="F55" s="491" t="s">
        <v>30</v>
      </c>
      <c r="G55" s="492">
        <v>40</v>
      </c>
      <c r="H55" s="491" t="s">
        <v>30</v>
      </c>
      <c r="I55" s="492">
        <v>2</v>
      </c>
      <c r="J55" s="356">
        <f>D55*I55</f>
        <v>0.32335303011548427</v>
      </c>
      <c r="K55" s="352"/>
      <c r="L55" s="352"/>
      <c r="M55" s="352"/>
      <c r="N55" s="352"/>
      <c r="O55" s="357"/>
    </row>
    <row r="56" spans="1:15" x14ac:dyDescent="0.3">
      <c r="A56" s="402">
        <v>20</v>
      </c>
      <c r="B56" s="491" t="s">
        <v>296</v>
      </c>
      <c r="C56" s="402" t="s">
        <v>148</v>
      </c>
      <c r="D56" s="356">
        <f>0.8/105154*E56^2*G56*SQRT(G56)+(0.003*EXP(0.319*E56))</f>
        <v>0.26479118861318168</v>
      </c>
      <c r="E56" s="492">
        <v>8</v>
      </c>
      <c r="F56" s="491" t="s">
        <v>30</v>
      </c>
      <c r="G56" s="492">
        <v>60</v>
      </c>
      <c r="H56" s="491" t="s">
        <v>30</v>
      </c>
      <c r="I56" s="492">
        <v>1</v>
      </c>
      <c r="J56" s="356">
        <f>D56*I56</f>
        <v>0.26479118861318168</v>
      </c>
      <c r="K56" s="352"/>
      <c r="L56" s="352"/>
      <c r="M56" s="352"/>
      <c r="N56" s="352"/>
      <c r="O56" s="357"/>
    </row>
    <row r="57" spans="1:15" x14ac:dyDescent="0.3">
      <c r="A57" s="402">
        <v>30</v>
      </c>
      <c r="B57" s="491" t="s">
        <v>297</v>
      </c>
      <c r="C57" s="402" t="s">
        <v>150</v>
      </c>
      <c r="D57" s="356">
        <f>(0.009*EXP(0.2*E57))</f>
        <v>4.4577291819556032E-2</v>
      </c>
      <c r="E57" s="492">
        <v>8</v>
      </c>
      <c r="F57" s="491" t="s">
        <v>30</v>
      </c>
      <c r="G57" s="492"/>
      <c r="H57" s="491"/>
      <c r="I57" s="492">
        <v>3</v>
      </c>
      <c r="J57" s="356">
        <f>D57*I57</f>
        <v>0.1337318754586681</v>
      </c>
      <c r="K57" s="352"/>
      <c r="L57" s="352"/>
      <c r="M57" s="352"/>
      <c r="N57" s="352"/>
      <c r="O57" s="357"/>
    </row>
    <row r="58" spans="1:15" x14ac:dyDescent="0.3">
      <c r="A58" s="402">
        <v>40</v>
      </c>
      <c r="B58" s="491" t="s">
        <v>298</v>
      </c>
      <c r="C58" s="402" t="s">
        <v>152</v>
      </c>
      <c r="D58" s="356">
        <v>0.01</v>
      </c>
      <c r="E58" s="492">
        <v>8</v>
      </c>
      <c r="F58" s="491" t="s">
        <v>30</v>
      </c>
      <c r="G58" s="492"/>
      <c r="H58" s="491"/>
      <c r="I58" s="492">
        <v>6</v>
      </c>
      <c r="J58" s="356">
        <f>D58*I58</f>
        <v>0.06</v>
      </c>
      <c r="K58" s="388"/>
      <c r="L58" s="388"/>
      <c r="M58" s="388"/>
      <c r="N58" s="388"/>
      <c r="O58" s="357"/>
    </row>
    <row r="59" spans="1:15" x14ac:dyDescent="0.3">
      <c r="A59" s="381"/>
      <c r="B59" s="382"/>
      <c r="C59" s="382"/>
      <c r="D59" s="382"/>
      <c r="E59" s="382"/>
      <c r="F59" s="382"/>
      <c r="G59" s="382"/>
      <c r="H59" s="382"/>
      <c r="I59" s="488" t="s">
        <v>18</v>
      </c>
      <c r="J59" s="489">
        <f>SUM(J55:J58)</f>
        <v>0.78187609418733417</v>
      </c>
      <c r="K59" s="352"/>
      <c r="L59" s="352"/>
      <c r="M59" s="352"/>
      <c r="N59" s="352"/>
      <c r="O59" s="357"/>
    </row>
    <row r="60" spans="1:15" x14ac:dyDescent="0.3">
      <c r="A60" s="385"/>
      <c r="B60" s="352"/>
      <c r="C60" s="352"/>
      <c r="D60" s="352"/>
      <c r="E60" s="352"/>
      <c r="F60" s="352"/>
      <c r="G60" s="352"/>
      <c r="H60" s="352"/>
      <c r="I60" s="352"/>
      <c r="J60" s="352"/>
      <c r="K60" s="352"/>
      <c r="L60" s="352"/>
      <c r="M60" s="352"/>
      <c r="N60" s="352"/>
      <c r="O60" s="357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84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86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391"/>
      <c r="B64" s="392"/>
      <c r="C64" s="392"/>
      <c r="D64" s="392"/>
      <c r="E64" s="392"/>
      <c r="F64" s="392"/>
      <c r="G64" s="392"/>
      <c r="H64" s="392"/>
      <c r="I64" s="392"/>
      <c r="J64" s="392"/>
      <c r="K64" s="392"/>
      <c r="L64" s="392"/>
      <c r="M64" s="392"/>
      <c r="N64" s="392"/>
      <c r="O64" s="393"/>
    </row>
    <row r="65" spans="1:14" x14ac:dyDescent="0.3">
      <c r="A65" s="56"/>
      <c r="B65" s="56"/>
      <c r="C65" s="56"/>
      <c r="D65" s="56"/>
      <c r="E65" s="56"/>
      <c r="F65" s="56"/>
      <c r="G65" s="56"/>
      <c r="H65" s="56"/>
      <c r="I65" s="56"/>
      <c r="J65" s="56"/>
      <c r="K65" s="56"/>
      <c r="L65" s="56"/>
      <c r="M65" s="56"/>
      <c r="N65" s="56"/>
    </row>
  </sheetData>
  <hyperlinks>
    <hyperlink ref="E2" location="SU_A0200_BOM" display="Back to BOM"/>
    <hyperlink ref="B15" location="SU_02006" display="SU_02006"/>
    <hyperlink ref="B13" location="SU_02004" display="SU_02004"/>
    <hyperlink ref="B12" location="SU_02003" display="SU_02003"/>
    <hyperlink ref="B11" location="SU_02002" display="SU_02002"/>
    <hyperlink ref="B16" location="SU_02007" display="SU_02007"/>
    <hyperlink ref="B14" location="SU_02005" display="SU_02005"/>
    <hyperlink ref="B11:B13" location="BR_01001" display="BR_01001"/>
    <hyperlink ref="B10" location="SU_02001" display="SU_02001"/>
    <hyperlink ref="B17" location="SU_02008" display="SU_02008"/>
    <hyperlink ref="B18" location="SU_02009" display="SU_02009"/>
    <hyperlink ref="B19" location="SU_02010" display="SU_02010"/>
    <hyperlink ref="B20" location="SU_02011" display="SU_02011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64" max="16383" man="1"/>
  </rowBreaks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4"/>
  <sheetViews>
    <sheetView zoomScale="106" zoomScaleNormal="106" workbookViewId="0">
      <selection activeCell="G2" sqref="G2"/>
    </sheetView>
  </sheetViews>
  <sheetFormatPr baseColWidth="10" defaultColWidth="9.109375" defaultRowHeight="14.4" x14ac:dyDescent="0.3"/>
  <cols>
    <col min="2" max="2" width="22" customWidth="1"/>
    <col min="3" max="3" width="27.109375" customWidth="1"/>
    <col min="7" max="7" width="11.44140625" customWidth="1"/>
    <col min="9" max="9" width="13" customWidth="1"/>
    <col min="10" max="10" width="12.5546875" customWidth="1"/>
    <col min="15" max="15" width="3.109375" customWidth="1"/>
    <col min="18" max="19" width="16.3320312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SU_02001_m+SU_02001_p</f>
        <v>9.1140000000000008</v>
      </c>
      <c r="O2" s="62"/>
    </row>
    <row r="3" spans="1:19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9" x14ac:dyDescent="0.3">
      <c r="A4" s="102" t="s">
        <v>5</v>
      </c>
      <c r="B4" s="89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18" t="s">
        <v>178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9.1140000000000008</v>
      </c>
      <c r="O5" s="62"/>
    </row>
    <row r="6" spans="1:19" x14ac:dyDescent="0.3">
      <c r="A6" s="102" t="s">
        <v>7</v>
      </c>
      <c r="B6" s="28" t="s">
        <v>186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s="22" customFormat="1" ht="17.399999999999999" customHeight="1" x14ac:dyDescent="0.3">
      <c r="A11" s="514">
        <v>10</v>
      </c>
      <c r="B11" s="515" t="s">
        <v>273</v>
      </c>
      <c r="C11" s="514" t="s">
        <v>299</v>
      </c>
      <c r="D11" s="516">
        <v>4.2</v>
      </c>
      <c r="E11" s="517"/>
      <c r="F11" s="514"/>
      <c r="G11" s="514"/>
      <c r="H11" s="518"/>
      <c r="I11" s="324" t="s">
        <v>301</v>
      </c>
      <c r="J11" s="253">
        <f>64*56/1000000</f>
        <v>3.5839999999999999E-3</v>
      </c>
      <c r="K11" s="253">
        <v>1.6E-2</v>
      </c>
      <c r="L11" s="79">
        <v>2712</v>
      </c>
      <c r="M11" s="147">
        <v>1</v>
      </c>
      <c r="N11" s="30">
        <f>D11*M11</f>
        <v>4.2</v>
      </c>
      <c r="O11" s="66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4.2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s="527" customFormat="1" ht="28.8" x14ac:dyDescent="0.3">
      <c r="A15" s="519">
        <v>10</v>
      </c>
      <c r="B15" s="336" t="s">
        <v>39</v>
      </c>
      <c r="C15" s="520"/>
      <c r="D15" s="521">
        <v>1.3</v>
      </c>
      <c r="E15" s="336" t="s">
        <v>32</v>
      </c>
      <c r="F15" s="520">
        <v>1</v>
      </c>
      <c r="G15" s="520"/>
      <c r="H15" s="520"/>
      <c r="I15" s="522">
        <f t="shared" ref="I15:I22" si="0">IF(H15="",D15*F15,D15*F15*H15)</f>
        <v>1.3</v>
      </c>
      <c r="J15" s="525"/>
      <c r="K15" s="525"/>
      <c r="L15" s="525"/>
      <c r="M15" s="525"/>
      <c r="N15" s="525"/>
      <c r="O15" s="526"/>
    </row>
    <row r="16" spans="1:19" s="527" customFormat="1" ht="28.8" customHeight="1" x14ac:dyDescent="0.3">
      <c r="A16" s="322">
        <v>20</v>
      </c>
      <c r="B16" s="336" t="s">
        <v>159</v>
      </c>
      <c r="C16" s="523" t="s">
        <v>302</v>
      </c>
      <c r="D16" s="305">
        <v>0.04</v>
      </c>
      <c r="E16" s="322" t="s">
        <v>161</v>
      </c>
      <c r="F16" s="294">
        <v>30</v>
      </c>
      <c r="G16" s="336" t="s">
        <v>264</v>
      </c>
      <c r="H16" s="524">
        <v>1</v>
      </c>
      <c r="I16" s="306">
        <f t="shared" si="0"/>
        <v>1.2</v>
      </c>
      <c r="J16" s="528"/>
      <c r="K16" s="528"/>
      <c r="L16" s="528"/>
      <c r="M16" s="528"/>
      <c r="N16" s="528"/>
      <c r="O16" s="529"/>
    </row>
    <row r="17" spans="1:15" s="527" customFormat="1" ht="16.2" customHeight="1" x14ac:dyDescent="0.3">
      <c r="A17" s="519">
        <v>30</v>
      </c>
      <c r="B17" s="336" t="s">
        <v>158</v>
      </c>
      <c r="C17" s="520"/>
      <c r="D17" s="521">
        <v>0.65</v>
      </c>
      <c r="E17" s="336" t="s">
        <v>32</v>
      </c>
      <c r="F17" s="520">
        <v>1</v>
      </c>
      <c r="G17" s="520"/>
      <c r="H17" s="520"/>
      <c r="I17" s="522">
        <f t="shared" si="0"/>
        <v>0.65</v>
      </c>
      <c r="J17" s="530"/>
      <c r="K17" s="530"/>
      <c r="L17" s="530"/>
      <c r="M17" s="530"/>
      <c r="N17" s="530"/>
      <c r="O17" s="531"/>
    </row>
    <row r="18" spans="1:15" s="527" customFormat="1" ht="32.4" customHeight="1" x14ac:dyDescent="0.3">
      <c r="A18" s="322">
        <v>40</v>
      </c>
      <c r="B18" s="336" t="s">
        <v>159</v>
      </c>
      <c r="C18" s="523" t="s">
        <v>257</v>
      </c>
      <c r="D18" s="305">
        <v>0.04</v>
      </c>
      <c r="E18" s="322" t="s">
        <v>161</v>
      </c>
      <c r="F18" s="294">
        <v>2.2999999999999998</v>
      </c>
      <c r="G18" s="336" t="s">
        <v>264</v>
      </c>
      <c r="H18" s="524">
        <v>1</v>
      </c>
      <c r="I18" s="306">
        <f t="shared" si="0"/>
        <v>9.1999999999999998E-2</v>
      </c>
      <c r="J18" s="528"/>
      <c r="K18" s="528"/>
      <c r="L18" s="528"/>
      <c r="M18" s="528"/>
      <c r="N18" s="528"/>
      <c r="O18" s="529"/>
    </row>
    <row r="19" spans="1:15" s="527" customFormat="1" ht="15.6" customHeight="1" x14ac:dyDescent="0.3">
      <c r="A19" s="519">
        <v>50</v>
      </c>
      <c r="B19" s="336" t="s">
        <v>158</v>
      </c>
      <c r="C19" s="520"/>
      <c r="D19" s="521">
        <v>0.65</v>
      </c>
      <c r="E19" s="336" t="s">
        <v>32</v>
      </c>
      <c r="F19" s="520">
        <v>1</v>
      </c>
      <c r="G19" s="520"/>
      <c r="H19" s="520"/>
      <c r="I19" s="522">
        <f t="shared" si="0"/>
        <v>0.65</v>
      </c>
      <c r="J19" s="528"/>
      <c r="K19" s="528"/>
      <c r="L19" s="528"/>
      <c r="M19" s="528"/>
      <c r="N19" s="528"/>
      <c r="O19" s="529"/>
    </row>
    <row r="20" spans="1:15" s="527" customFormat="1" ht="28.2" customHeight="1" x14ac:dyDescent="0.3">
      <c r="A20" s="322">
        <v>60</v>
      </c>
      <c r="B20" s="336" t="s">
        <v>159</v>
      </c>
      <c r="C20" s="523" t="s">
        <v>258</v>
      </c>
      <c r="D20" s="305">
        <v>0.04</v>
      </c>
      <c r="E20" s="322" t="s">
        <v>161</v>
      </c>
      <c r="F20" s="294">
        <v>2.2999999999999998</v>
      </c>
      <c r="G20" s="336" t="s">
        <v>264</v>
      </c>
      <c r="H20" s="524">
        <v>1</v>
      </c>
      <c r="I20" s="306">
        <f t="shared" si="0"/>
        <v>9.1999999999999998E-2</v>
      </c>
      <c r="J20" s="528"/>
      <c r="K20" s="528"/>
      <c r="L20" s="528"/>
      <c r="M20" s="528"/>
      <c r="N20" s="528"/>
      <c r="O20" s="529"/>
    </row>
    <row r="21" spans="1:15" s="527" customFormat="1" ht="18" customHeight="1" x14ac:dyDescent="0.3">
      <c r="A21" s="519">
        <v>70</v>
      </c>
      <c r="B21" s="336" t="s">
        <v>158</v>
      </c>
      <c r="C21" s="520"/>
      <c r="D21" s="521">
        <v>0.65</v>
      </c>
      <c r="E21" s="336" t="s">
        <v>32</v>
      </c>
      <c r="F21" s="520">
        <v>1</v>
      </c>
      <c r="G21" s="520"/>
      <c r="H21" s="520"/>
      <c r="I21" s="522">
        <f t="shared" si="0"/>
        <v>0.65</v>
      </c>
      <c r="J21" s="532"/>
      <c r="K21" s="532"/>
      <c r="L21" s="532"/>
      <c r="M21" s="532"/>
      <c r="N21" s="532"/>
      <c r="O21" s="529"/>
    </row>
    <row r="22" spans="1:15" s="527" customFormat="1" ht="27.6" customHeight="1" x14ac:dyDescent="0.3">
      <c r="A22" s="322">
        <v>80</v>
      </c>
      <c r="B22" s="336" t="s">
        <v>159</v>
      </c>
      <c r="C22" s="523" t="s">
        <v>300</v>
      </c>
      <c r="D22" s="305">
        <v>0.04</v>
      </c>
      <c r="E22" s="322" t="s">
        <v>161</v>
      </c>
      <c r="F22" s="294">
        <v>7</v>
      </c>
      <c r="G22" s="336" t="s">
        <v>264</v>
      </c>
      <c r="H22" s="524">
        <v>1</v>
      </c>
      <c r="I22" s="306">
        <f t="shared" si="0"/>
        <v>0.28000000000000003</v>
      </c>
      <c r="J22" s="533"/>
      <c r="K22" s="528"/>
      <c r="L22" s="528"/>
      <c r="M22" s="528"/>
      <c r="N22" s="528"/>
      <c r="O22" s="529"/>
    </row>
    <row r="23" spans="1:15" x14ac:dyDescent="0.3">
      <c r="A23" s="67"/>
      <c r="B23" s="24"/>
      <c r="C23" s="24"/>
      <c r="D23" s="24"/>
      <c r="E23" s="24"/>
      <c r="F23" s="24"/>
      <c r="G23" s="24"/>
      <c r="H23" s="111" t="s">
        <v>18</v>
      </c>
      <c r="I23" s="109">
        <f>SUM(I15:I22)</f>
        <v>4.9140000000000006</v>
      </c>
      <c r="J23" s="24"/>
      <c r="K23" s="24"/>
      <c r="L23" s="24"/>
      <c r="M23" s="24"/>
      <c r="N23" s="24"/>
      <c r="O23" s="62"/>
    </row>
    <row r="24" spans="1:15" ht="15" thickBot="1" x14ac:dyDescent="0.35">
      <c r="A24" s="69"/>
      <c r="B24" s="70"/>
      <c r="C24" s="70"/>
      <c r="D24" s="70"/>
      <c r="E24" s="70"/>
      <c r="F24" s="70"/>
      <c r="G24" s="70"/>
      <c r="H24" s="70"/>
      <c r="I24" s="70"/>
      <c r="J24" s="70"/>
      <c r="K24" s="70"/>
      <c r="L24" s="70"/>
      <c r="M24" s="70"/>
      <c r="N24" s="70"/>
      <c r="O24" s="71"/>
    </row>
  </sheetData>
  <hyperlinks>
    <hyperlink ref="E3" location="dSU_02001" display="Drawing"/>
    <hyperlink ref="B4" location="SU_A0200" display="Lower Front A-arm"/>
    <hyperlink ref="G2" location="SU_A0200_BOM" display="Back to BOM"/>
  </hyperlinks>
  <pageMargins left="0.78749999999999998" right="0.78749999999999998" top="1.05277777777778" bottom="1.05277777777778" header="0.78749999999999998" footer="0.78749999999999998"/>
  <pageSetup paperSize="9" scale="50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4" max="16383" man="1"/>
    <brk id="58" max="16383" man="1"/>
  </rowBreaks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170</v>
      </c>
      <c r="B1" s="89" t="str">
        <f>SU_01001</f>
        <v>SU_01001</v>
      </c>
    </row>
  </sheetData>
  <hyperlinks>
    <hyperlink ref="B1" location="SU_02001" display="SU_02001"/>
  </hyperlinks>
  <pageMargins left="0.7" right="0.7" top="0.75" bottom="0.75" header="0.3" footer="0.3"/>
  <pageSetup paperSize="9" scale="68" fitToHeight="0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S22"/>
  <sheetViews>
    <sheetView zoomScaleNormal="100" workbookViewId="0">
      <selection activeCell="G2" sqref="G2"/>
    </sheetView>
  </sheetViews>
  <sheetFormatPr baseColWidth="10" defaultRowHeight="14.4" x14ac:dyDescent="0.3"/>
  <cols>
    <col min="2" max="2" width="23.109375" customWidth="1"/>
    <col min="9" max="9" width="21.44140625" customWidth="1"/>
    <col min="18" max="18" width="13.8867187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N12+I21</f>
        <v>3.3353805440000004</v>
      </c>
      <c r="O2" s="62"/>
    </row>
    <row r="3" spans="1:19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9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73" t="s">
        <v>157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6.6707610880000008</v>
      </c>
      <c r="O5" s="62"/>
    </row>
    <row r="6" spans="1:19" x14ac:dyDescent="0.3">
      <c r="A6" s="102" t="s">
        <v>7</v>
      </c>
      <c r="B6" s="28" t="s">
        <v>187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x14ac:dyDescent="0.3">
      <c r="A11" s="85">
        <v>10</v>
      </c>
      <c r="B11" s="26" t="s">
        <v>132</v>
      </c>
      <c r="C11" s="20" t="s">
        <v>38</v>
      </c>
      <c r="D11" s="289">
        <f>4.2</f>
        <v>4.2</v>
      </c>
      <c r="E11" s="263">
        <f>J11*K11*L11</f>
        <v>0.20437632</v>
      </c>
      <c r="F11" s="20" t="s">
        <v>162</v>
      </c>
      <c r="G11" s="20"/>
      <c r="H11" s="290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289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0.85838054400000008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R13" s="135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ht="43.2" x14ac:dyDescent="0.3">
      <c r="A15" s="338">
        <v>10</v>
      </c>
      <c r="B15" s="339" t="s">
        <v>39</v>
      </c>
      <c r="C15" s="338"/>
      <c r="D15" s="340">
        <v>1.3</v>
      </c>
      <c r="E15" s="339" t="s">
        <v>32</v>
      </c>
      <c r="F15" s="338">
        <v>1</v>
      </c>
      <c r="G15" s="338" t="s">
        <v>295</v>
      </c>
      <c r="H15" s="338">
        <v>0.5</v>
      </c>
      <c r="I15" s="341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ht="28.2" customHeight="1" x14ac:dyDescent="0.3">
      <c r="A16" s="342">
        <v>20</v>
      </c>
      <c r="B16" s="339" t="s">
        <v>159</v>
      </c>
      <c r="C16" s="343" t="s">
        <v>263</v>
      </c>
      <c r="D16" s="344">
        <v>0.04</v>
      </c>
      <c r="E16" s="342" t="s">
        <v>161</v>
      </c>
      <c r="F16" s="345">
        <v>17</v>
      </c>
      <c r="G16" s="339" t="s">
        <v>264</v>
      </c>
      <c r="H16" s="237">
        <v>1</v>
      </c>
      <c r="I16" s="346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ht="43.2" x14ac:dyDescent="0.3">
      <c r="A17" s="338">
        <v>30</v>
      </c>
      <c r="B17" s="339" t="s">
        <v>158</v>
      </c>
      <c r="C17" s="338"/>
      <c r="D17" s="340">
        <v>0.65</v>
      </c>
      <c r="E17" s="339" t="s">
        <v>32</v>
      </c>
      <c r="F17" s="338">
        <v>1</v>
      </c>
      <c r="G17" s="338" t="s">
        <v>295</v>
      </c>
      <c r="H17" s="338">
        <v>0.5</v>
      </c>
      <c r="I17" s="341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ht="15.6" customHeight="1" x14ac:dyDescent="0.3">
      <c r="A18" s="342">
        <v>40</v>
      </c>
      <c r="B18" s="339" t="s">
        <v>159</v>
      </c>
      <c r="C18" s="343" t="s">
        <v>265</v>
      </c>
      <c r="D18" s="344">
        <v>0.04</v>
      </c>
      <c r="E18" s="342" t="s">
        <v>161</v>
      </c>
      <c r="F18" s="345">
        <v>2</v>
      </c>
      <c r="G18" s="339" t="s">
        <v>264</v>
      </c>
      <c r="H18" s="237">
        <v>1</v>
      </c>
      <c r="I18" s="346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x14ac:dyDescent="0.3">
      <c r="A19" s="338">
        <v>50</v>
      </c>
      <c r="B19" s="339" t="s">
        <v>158</v>
      </c>
      <c r="C19" s="338"/>
      <c r="D19" s="340">
        <v>0.65</v>
      </c>
      <c r="E19" s="339" t="s">
        <v>32</v>
      </c>
      <c r="F19" s="338">
        <v>1</v>
      </c>
      <c r="G19" s="338"/>
      <c r="H19" s="338"/>
      <c r="I19" s="341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ht="14.4" customHeight="1" x14ac:dyDescent="0.3">
      <c r="A20" s="342">
        <v>60</v>
      </c>
      <c r="B20" s="339" t="s">
        <v>159</v>
      </c>
      <c r="C20" s="343" t="s">
        <v>266</v>
      </c>
      <c r="D20" s="344">
        <v>0.04</v>
      </c>
      <c r="E20" s="342" t="s">
        <v>161</v>
      </c>
      <c r="F20" s="345">
        <v>2.2999999999999998</v>
      </c>
      <c r="G20" s="339" t="s">
        <v>264</v>
      </c>
      <c r="H20" s="237">
        <v>1</v>
      </c>
      <c r="I20" s="346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67"/>
      <c r="B21" s="24"/>
      <c r="C21" s="24"/>
      <c r="D21" s="24"/>
      <c r="E21" s="24"/>
      <c r="F21" s="24"/>
      <c r="G21" s="24"/>
      <c r="H21" s="111" t="s">
        <v>18</v>
      </c>
      <c r="I21" s="109">
        <f>SUM(I15:I20)</f>
        <v>2.4770000000000003</v>
      </c>
      <c r="J21" s="24"/>
      <c r="K21" s="24"/>
      <c r="L21" s="24"/>
      <c r="M21" s="24"/>
      <c r="N21" s="24"/>
      <c r="O21" s="62"/>
    </row>
    <row r="22" spans="1:19" ht="15" thickBot="1" x14ac:dyDescent="0.35">
      <c r="A22" s="69"/>
      <c r="B22" s="70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  <c r="N22" s="70"/>
      <c r="O22" s="71"/>
    </row>
  </sheetData>
  <hyperlinks>
    <hyperlink ref="B4" location="SU_A0200" display="Lower Front A-arm"/>
    <hyperlink ref="E3" location="dSU_02002" display="Drawing"/>
    <hyperlink ref="G2" location="SU_A02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6"/>
  <sheetViews>
    <sheetView zoomScale="106" zoomScaleNormal="106" workbookViewId="0">
      <selection activeCell="B1" sqref="B1"/>
    </sheetView>
  </sheetViews>
  <sheetFormatPr baseColWidth="10" defaultRowHeight="14.4" x14ac:dyDescent="0.3"/>
  <cols>
    <col min="1" max="1" width="18.88671875" customWidth="1"/>
  </cols>
  <sheetData>
    <row r="1" spans="1:2" x14ac:dyDescent="0.3">
      <c r="A1" t="s">
        <v>170</v>
      </c>
      <c r="B1" s="89" t="s">
        <v>179</v>
      </c>
    </row>
    <row r="6" spans="1:2" x14ac:dyDescent="0.3">
      <c r="B6" s="138"/>
    </row>
  </sheetData>
  <hyperlinks>
    <hyperlink ref="B1" location="SU_02002!B5" display="SU_01002"/>
  </hyperlinks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85" zoomScaleNormal="85" workbookViewId="0">
      <selection activeCell="G2" sqref="G2"/>
    </sheetView>
  </sheetViews>
  <sheetFormatPr baseColWidth="10" defaultRowHeight="14.4" x14ac:dyDescent="0.3"/>
  <cols>
    <col min="2" max="2" width="19.44140625" customWidth="1"/>
    <col min="3" max="3" width="33" customWidth="1"/>
    <col min="5" max="5" width="17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11.220746039999998</v>
      </c>
      <c r="O2" s="62"/>
    </row>
    <row r="3" spans="1:15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73" t="s">
        <v>180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11.220746039999998</v>
      </c>
      <c r="O5" s="62"/>
    </row>
    <row r="6" spans="1:15" x14ac:dyDescent="0.3">
      <c r="A6" s="102" t="s">
        <v>7</v>
      </c>
      <c r="B6" s="28" t="s">
        <v>181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9.9739964799999985</v>
      </c>
      <c r="E11" s="148">
        <f>J11*K11</f>
        <v>3.1563279999999995E-5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253">
        <v>0.35899999999999999</v>
      </c>
      <c r="L11" s="79">
        <v>1580</v>
      </c>
      <c r="M11" s="147">
        <v>1</v>
      </c>
      <c r="N11" s="30">
        <f>D11*M11</f>
        <v>9.9739964799999985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9.9739964799999985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ht="28.8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534">
        <f>J11*K11*L11</f>
        <v>4.9869982399999992E-2</v>
      </c>
      <c r="G15" s="221"/>
      <c r="H15" s="221"/>
      <c r="I15" s="224">
        <f>IF(H15="",D15*F15,D15*F15*H15)</f>
        <v>1.2467495599999998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1.2467495599999998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SU_A0200" display="Lower Front A-arm"/>
    <hyperlink ref="G2" location="SU_A0200_BOM" display="Back to BOM"/>
  </hyperlink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90" zoomScaleNormal="90" zoomScaleSheetLayoutView="80" workbookViewId="0">
      <selection activeCell="E2" sqref="E2"/>
    </sheetView>
  </sheetViews>
  <sheetFormatPr baseColWidth="10" defaultColWidth="9.109375" defaultRowHeight="14.4" x14ac:dyDescent="0.3"/>
  <cols>
    <col min="2" max="2" width="45.5546875" customWidth="1"/>
    <col min="3" max="3" width="48.21875" customWidth="1"/>
    <col min="5" max="5" width="14.109375" customWidth="1"/>
    <col min="8" max="8" width="9.44140625" customWidth="1"/>
    <col min="14" max="14" width="13.7773437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SU_A0100_pa+SU_A0100_m+SU_A0100_p+SU_A0100_f</f>
        <v>87.573644973387331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155</v>
      </c>
      <c r="C4" s="56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130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N2*N3</f>
        <v>175.14728994677466</v>
      </c>
      <c r="O5" s="62"/>
    </row>
    <row r="6" spans="1:15" x14ac:dyDescent="0.3">
      <c r="A6" s="98" t="s">
        <v>10</v>
      </c>
      <c r="B6" s="16"/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98" t="s">
        <v>14</v>
      </c>
      <c r="B9" s="98" t="s">
        <v>15</v>
      </c>
      <c r="C9" s="98" t="s">
        <v>16</v>
      </c>
      <c r="D9" s="98" t="s">
        <v>17</v>
      </c>
      <c r="E9" s="98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72">
        <v>10</v>
      </c>
      <c r="B10" s="86" t="str">
        <f>'SU 01001'!B5</f>
        <v>Upper Front Bearing Support</v>
      </c>
      <c r="C10" s="74">
        <f>'SU 01001'!N2</f>
        <v>15.090551905600002</v>
      </c>
      <c r="D10" s="128">
        <f>SU_01001_q</f>
        <v>1</v>
      </c>
      <c r="E10" s="74">
        <f>C10*D10</f>
        <v>15.090551905600002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72">
        <v>20</v>
      </c>
      <c r="B11" s="86" t="str">
        <f>'SU 01002'!B5</f>
        <v>Inner Bearing Support</v>
      </c>
      <c r="C11" s="74">
        <f>'SU 01002'!N2</f>
        <v>3.3353805440000004</v>
      </c>
      <c r="D11" s="72">
        <f>SU_01002_q</f>
        <v>2</v>
      </c>
      <c r="E11" s="74">
        <f t="shared" ref="E11:E20" si="0">C11*D11</f>
        <v>6.6707610880000008</v>
      </c>
      <c r="F11" s="57"/>
      <c r="G11" s="57"/>
      <c r="H11" s="57"/>
      <c r="I11" s="57"/>
      <c r="J11" s="57"/>
      <c r="K11" s="57"/>
      <c r="L11" s="57"/>
      <c r="M11" s="57"/>
      <c r="N11" s="57"/>
      <c r="O11" s="62"/>
    </row>
    <row r="12" spans="1:15" x14ac:dyDescent="0.3">
      <c r="A12" s="72">
        <v>30</v>
      </c>
      <c r="B12" s="86" t="str">
        <f>'SU 01003'!B5</f>
        <v>Upper Front A-arm tube (Front)  Carbon Fiber Tube</v>
      </c>
      <c r="C12" s="74">
        <f>'SU 01003'!N2</f>
        <v>8.8765790399999975</v>
      </c>
      <c r="D12" s="72">
        <f>SU_01003_q</f>
        <v>1</v>
      </c>
      <c r="E12" s="74">
        <f t="shared" si="0"/>
        <v>8.8765790399999975</v>
      </c>
      <c r="F12" s="57"/>
      <c r="G12" s="57"/>
      <c r="H12" s="57"/>
      <c r="I12" s="57"/>
      <c r="J12" s="57"/>
      <c r="K12" s="57"/>
      <c r="L12" s="57"/>
      <c r="M12" s="57"/>
      <c r="N12" s="57"/>
      <c r="O12" s="64"/>
    </row>
    <row r="13" spans="1:15" s="17" customFormat="1" x14ac:dyDescent="0.3">
      <c r="A13" s="72">
        <v>40</v>
      </c>
      <c r="B13" s="86" t="str">
        <f>'SU 01004'!B5</f>
        <v>Upper Front A-arm tube (Back)  Carbon Fiber Tube</v>
      </c>
      <c r="C13" s="74">
        <f>'SU 01004'!N2</f>
        <v>7.1887787999999988</v>
      </c>
      <c r="D13" s="72">
        <f>SU_01004_q</f>
        <v>1</v>
      </c>
      <c r="E13" s="74">
        <f t="shared" si="0"/>
        <v>7.1887787999999988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s="17" customFormat="1" x14ac:dyDescent="0.3">
      <c r="A14" s="72">
        <v>50</v>
      </c>
      <c r="B14" s="86" t="str">
        <f>'SU 01005'!B5</f>
        <v>Spacer 1</v>
      </c>
      <c r="C14" s="74">
        <f>'SU 01005'!N2</f>
        <v>1.0750440160000001</v>
      </c>
      <c r="D14">
        <f>SU_01005_q</f>
        <v>2</v>
      </c>
      <c r="E14" s="74">
        <f t="shared" si="0"/>
        <v>2.1500880320000002</v>
      </c>
      <c r="F14" s="57"/>
      <c r="G14" s="57"/>
      <c r="H14" s="57"/>
      <c r="I14" s="57"/>
      <c r="J14" s="57"/>
      <c r="K14" s="57"/>
      <c r="L14" s="57"/>
      <c r="M14" s="57"/>
      <c r="N14" s="57"/>
      <c r="O14" s="65"/>
    </row>
    <row r="15" spans="1:15" s="17" customFormat="1" x14ac:dyDescent="0.3">
      <c r="A15" s="72">
        <v>60</v>
      </c>
      <c r="B15" s="86" t="s">
        <v>192</v>
      </c>
      <c r="C15" s="150">
        <f>'SU 01006'!N2</f>
        <v>1.1551782399999999</v>
      </c>
      <c r="D15" s="26">
        <f>SU_01006_q</f>
        <v>4</v>
      </c>
      <c r="E15" s="74">
        <f t="shared" si="0"/>
        <v>4.6207129599999996</v>
      </c>
      <c r="F15" s="57"/>
      <c r="G15" s="57"/>
      <c r="H15" s="57"/>
      <c r="I15" s="57"/>
      <c r="J15" s="57"/>
      <c r="K15" s="57"/>
      <c r="L15" s="57"/>
      <c r="M15" s="57"/>
      <c r="N15" s="57"/>
      <c r="O15" s="65"/>
    </row>
    <row r="16" spans="1:15" s="17" customFormat="1" x14ac:dyDescent="0.3">
      <c r="A16" s="238">
        <v>70</v>
      </c>
      <c r="B16" s="471" t="str">
        <f>'SU 01007'!B5</f>
        <v>Outboard A-arm Insert</v>
      </c>
      <c r="C16" s="474">
        <f>'SU 01007'!N2</f>
        <v>0.47719727680000001</v>
      </c>
      <c r="D16" s="473">
        <f>SU_01007_q</f>
        <v>2</v>
      </c>
      <c r="E16" s="475">
        <f t="shared" si="0"/>
        <v>0.95439455360000003</v>
      </c>
      <c r="F16" s="57"/>
      <c r="G16" s="57"/>
      <c r="H16" s="57"/>
      <c r="I16" s="57"/>
      <c r="J16" s="57"/>
      <c r="K16" s="57"/>
      <c r="L16" s="57"/>
      <c r="M16" s="57"/>
      <c r="N16" s="57"/>
      <c r="O16" s="65"/>
    </row>
    <row r="17" spans="1:15" s="17" customFormat="1" x14ac:dyDescent="0.3">
      <c r="A17" s="72">
        <v>80</v>
      </c>
      <c r="B17" s="472" t="str">
        <f>'SU 01008'!B5</f>
        <v>Front up bracket</v>
      </c>
      <c r="C17" s="474">
        <f>'SU 01008'!N2</f>
        <v>1.3930602499999998</v>
      </c>
      <c r="D17" s="473">
        <f>SU_01008_q</f>
        <v>1</v>
      </c>
      <c r="E17" s="475">
        <f t="shared" si="0"/>
        <v>1.3930602499999998</v>
      </c>
      <c r="F17" s="57"/>
      <c r="G17" s="57"/>
      <c r="H17" s="57"/>
      <c r="I17" s="57"/>
      <c r="J17" s="57"/>
      <c r="K17" s="57"/>
      <c r="L17" s="57"/>
      <c r="M17" s="57"/>
      <c r="N17" s="57"/>
      <c r="O17" s="65"/>
    </row>
    <row r="18" spans="1:15" s="17" customFormat="1" x14ac:dyDescent="0.3">
      <c r="A18" s="72">
        <v>90</v>
      </c>
      <c r="B18" s="472" t="str">
        <f>'SU 01009'!B5</f>
        <v>Front down bracket</v>
      </c>
      <c r="C18" s="474">
        <f>'SU 01009'!N2</f>
        <v>1.3590899374999998</v>
      </c>
      <c r="D18" s="473">
        <f>SU_01009_q</f>
        <v>1</v>
      </c>
      <c r="E18" s="475">
        <f t="shared" si="0"/>
        <v>1.3590899374999998</v>
      </c>
      <c r="F18" s="57"/>
      <c r="G18" s="57"/>
      <c r="H18" s="57"/>
      <c r="I18" s="57"/>
      <c r="J18" s="57"/>
      <c r="K18" s="57"/>
      <c r="L18" s="57"/>
      <c r="M18" s="57"/>
      <c r="N18" s="57"/>
      <c r="O18" s="65"/>
    </row>
    <row r="19" spans="1:15" s="17" customFormat="1" x14ac:dyDescent="0.3">
      <c r="A19" s="238">
        <v>100</v>
      </c>
      <c r="B19" s="472" t="str">
        <f>'SU 01010'!B5</f>
        <v>Rear up bracket</v>
      </c>
      <c r="C19" s="474">
        <f>'SU 01010'!N2</f>
        <v>1.3143274375</v>
      </c>
      <c r="D19" s="473">
        <f>SU_01010_q</f>
        <v>1</v>
      </c>
      <c r="E19" s="475">
        <f t="shared" si="0"/>
        <v>1.3143274375</v>
      </c>
      <c r="F19" s="57"/>
      <c r="G19" s="57"/>
      <c r="H19" s="57"/>
      <c r="I19" s="57"/>
      <c r="J19" s="57"/>
      <c r="K19" s="57"/>
      <c r="L19" s="57"/>
      <c r="M19" s="57"/>
      <c r="N19" s="57"/>
      <c r="O19" s="65"/>
    </row>
    <row r="20" spans="1:15" s="17" customFormat="1" x14ac:dyDescent="0.3">
      <c r="A20" s="72">
        <v>110</v>
      </c>
      <c r="B20" s="472" t="str">
        <f>'SU 01011'!B5</f>
        <v>Rear down bracket</v>
      </c>
      <c r="C20" s="474">
        <f>'SU 01011'!N2</f>
        <v>0.37972487499999996</v>
      </c>
      <c r="D20" s="473">
        <f>SU_01011_q</f>
        <v>1</v>
      </c>
      <c r="E20" s="475">
        <f t="shared" si="0"/>
        <v>0.37972487499999996</v>
      </c>
      <c r="F20" s="57"/>
      <c r="G20" s="57"/>
      <c r="H20" s="57"/>
      <c r="I20" s="57"/>
      <c r="J20" s="57"/>
      <c r="K20" s="57"/>
      <c r="L20" s="57"/>
      <c r="M20" s="57"/>
      <c r="N20" s="57"/>
      <c r="O20" s="65"/>
    </row>
    <row r="21" spans="1:15" x14ac:dyDescent="0.3">
      <c r="A21" s="63"/>
      <c r="B21" s="56"/>
      <c r="C21" s="56"/>
      <c r="D21" s="265" t="s">
        <v>18</v>
      </c>
      <c r="E21" s="244">
        <f>SUM(E10:E20)</f>
        <v>49.998068879199991</v>
      </c>
      <c r="F21" s="57"/>
      <c r="G21" s="57"/>
      <c r="H21" s="57"/>
      <c r="I21" s="57"/>
      <c r="J21" s="57"/>
      <c r="K21" s="57"/>
      <c r="L21" s="57"/>
      <c r="M21" s="57"/>
      <c r="N21" s="57"/>
      <c r="O21" s="62"/>
    </row>
    <row r="22" spans="1:15" x14ac:dyDescent="0.3">
      <c r="A22" s="63"/>
      <c r="B22" s="56"/>
      <c r="C22" s="56"/>
      <c r="D22" s="56"/>
      <c r="E22" s="56"/>
      <c r="F22" s="56"/>
      <c r="G22" s="56"/>
      <c r="H22" s="56"/>
      <c r="I22" s="56"/>
      <c r="J22" s="56"/>
      <c r="K22" s="56"/>
      <c r="L22" s="56"/>
      <c r="M22" s="56"/>
      <c r="N22" s="56"/>
      <c r="O22" s="62"/>
    </row>
    <row r="23" spans="1:15" x14ac:dyDescent="0.3">
      <c r="A23" s="98" t="s">
        <v>14</v>
      </c>
      <c r="B23" s="98" t="s">
        <v>19</v>
      </c>
      <c r="C23" s="98" t="s">
        <v>20</v>
      </c>
      <c r="D23" s="98" t="s">
        <v>21</v>
      </c>
      <c r="E23" s="98" t="s">
        <v>22</v>
      </c>
      <c r="F23" s="98" t="s">
        <v>23</v>
      </c>
      <c r="G23" s="98" t="s">
        <v>24</v>
      </c>
      <c r="H23" s="98" t="s">
        <v>25</v>
      </c>
      <c r="I23" s="98" t="s">
        <v>26</v>
      </c>
      <c r="J23" s="98" t="s">
        <v>27</v>
      </c>
      <c r="K23" s="98" t="s">
        <v>28</v>
      </c>
      <c r="L23" s="98" t="s">
        <v>29</v>
      </c>
      <c r="M23" s="98" t="s">
        <v>17</v>
      </c>
      <c r="N23" s="98" t="s">
        <v>18</v>
      </c>
      <c r="O23" s="62"/>
    </row>
    <row r="24" spans="1:15" ht="14.4" customHeight="1" x14ac:dyDescent="0.3">
      <c r="A24" s="72">
        <v>10</v>
      </c>
      <c r="B24" s="72" t="s">
        <v>131</v>
      </c>
      <c r="C24" s="72"/>
      <c r="D24" s="127">
        <f>0.03*E24^2+5</f>
        <v>6.92</v>
      </c>
      <c r="E24" s="72">
        <v>8</v>
      </c>
      <c r="F24" s="72" t="s">
        <v>30</v>
      </c>
      <c r="G24" s="72"/>
      <c r="H24" s="75"/>
      <c r="I24" s="76"/>
      <c r="J24" s="77"/>
      <c r="K24" s="75"/>
      <c r="L24" s="75"/>
      <c r="M24" s="81">
        <v>3</v>
      </c>
      <c r="N24" s="74">
        <f>M24*D24</f>
        <v>20.759999999999998</v>
      </c>
      <c r="O24" s="62"/>
    </row>
    <row r="25" spans="1:15" s="22" customFormat="1" ht="14.4" customHeight="1" x14ac:dyDescent="0.3">
      <c r="A25" s="238">
        <v>20</v>
      </c>
      <c r="B25" s="141" t="s">
        <v>136</v>
      </c>
      <c r="C25" s="239" t="s">
        <v>137</v>
      </c>
      <c r="D25" s="240"/>
      <c r="E25" s="577"/>
      <c r="F25" s="577">
        <v>95</v>
      </c>
      <c r="G25" s="577"/>
      <c r="H25" s="241"/>
      <c r="I25" s="578"/>
      <c r="J25" s="579"/>
      <c r="K25" s="580"/>
      <c r="L25" s="243"/>
      <c r="M25" s="242"/>
      <c r="N25" s="240">
        <f>M25*D25</f>
        <v>0</v>
      </c>
      <c r="O25" s="66"/>
    </row>
    <row r="26" spans="1:15" ht="31.8" customHeight="1" x14ac:dyDescent="0.3">
      <c r="A26" s="582">
        <v>30</v>
      </c>
      <c r="B26" s="583" t="s">
        <v>136</v>
      </c>
      <c r="C26" s="584" t="s">
        <v>138</v>
      </c>
      <c r="D26" s="585"/>
      <c r="E26" s="582"/>
      <c r="F26" s="582"/>
      <c r="G26" s="582"/>
      <c r="H26" s="586"/>
      <c r="I26" s="587"/>
      <c r="J26" s="588"/>
      <c r="K26" s="586"/>
      <c r="L26" s="589"/>
      <c r="M26" s="586"/>
      <c r="N26" s="585">
        <f>M26*D26</f>
        <v>0</v>
      </c>
      <c r="O26" s="62"/>
    </row>
    <row r="27" spans="1:15" ht="15.6" customHeight="1" x14ac:dyDescent="0.3">
      <c r="A27" s="67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45" t="s">
        <v>18</v>
      </c>
      <c r="N27" s="581">
        <f>SUM(N24:N26)</f>
        <v>20.759999999999998</v>
      </c>
      <c r="O27" s="62"/>
    </row>
    <row r="28" spans="1:15" x14ac:dyDescent="0.3">
      <c r="A28" s="63"/>
      <c r="B28" s="56"/>
      <c r="C28" s="56"/>
      <c r="D28" s="56"/>
      <c r="E28" s="56"/>
      <c r="F28" s="56"/>
      <c r="G28" s="56"/>
      <c r="H28" s="56"/>
      <c r="I28" s="56"/>
      <c r="J28" s="56"/>
      <c r="K28" s="56"/>
      <c r="L28" s="56"/>
      <c r="M28" s="56"/>
      <c r="N28" s="56"/>
      <c r="O28" s="62"/>
    </row>
    <row r="29" spans="1:15" s="25" customFormat="1" x14ac:dyDescent="0.3">
      <c r="A29" s="98" t="s">
        <v>14</v>
      </c>
      <c r="B29" s="98" t="s">
        <v>31</v>
      </c>
      <c r="C29" s="98" t="s">
        <v>20</v>
      </c>
      <c r="D29" s="98" t="s">
        <v>21</v>
      </c>
      <c r="E29" s="98" t="s">
        <v>32</v>
      </c>
      <c r="F29" s="98" t="s">
        <v>17</v>
      </c>
      <c r="G29" s="98" t="s">
        <v>33</v>
      </c>
      <c r="H29" s="98" t="s">
        <v>34</v>
      </c>
      <c r="I29" s="98" t="s">
        <v>18</v>
      </c>
      <c r="J29" s="24"/>
      <c r="K29" s="24"/>
      <c r="L29" s="24"/>
      <c r="M29" s="24"/>
      <c r="N29" s="24"/>
      <c r="O29" s="68"/>
    </row>
    <row r="30" spans="1:15" s="184" customFormat="1" x14ac:dyDescent="0.3">
      <c r="A30" s="226">
        <v>10</v>
      </c>
      <c r="B30" s="222" t="s">
        <v>142</v>
      </c>
      <c r="C30" s="227" t="s">
        <v>240</v>
      </c>
      <c r="D30" s="223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23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22" t="s">
        <v>139</v>
      </c>
      <c r="C31" s="227" t="s">
        <v>241</v>
      </c>
      <c r="D31" s="223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23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22" t="s">
        <v>142</v>
      </c>
      <c r="C32" s="227" t="s">
        <v>243</v>
      </c>
      <c r="D32" s="223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23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22" t="s">
        <v>225</v>
      </c>
      <c r="C33" s="232" t="s">
        <v>245</v>
      </c>
      <c r="D33" s="223">
        <v>0.06</v>
      </c>
      <c r="E33" s="222" t="s">
        <v>32</v>
      </c>
      <c r="F33" s="237">
        <v>1</v>
      </c>
      <c r="G33" s="237" t="s">
        <v>224</v>
      </c>
      <c r="H33" s="237">
        <v>2</v>
      </c>
      <c r="I33" s="223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22" t="s">
        <v>142</v>
      </c>
      <c r="C34" s="227" t="s">
        <v>246</v>
      </c>
      <c r="D34" s="223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23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22" t="s">
        <v>139</v>
      </c>
      <c r="C35" s="227" t="s">
        <v>247</v>
      </c>
      <c r="D35" s="223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23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22" t="s">
        <v>142</v>
      </c>
      <c r="C36" s="227" t="s">
        <v>226</v>
      </c>
      <c r="D36" s="223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23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22" t="s">
        <v>225</v>
      </c>
      <c r="C37" s="232" t="s">
        <v>248</v>
      </c>
      <c r="D37" s="223">
        <v>0.14000000000000001</v>
      </c>
      <c r="E37" s="222" t="s">
        <v>32</v>
      </c>
      <c r="F37" s="237">
        <v>1</v>
      </c>
      <c r="G37" s="237" t="s">
        <v>224</v>
      </c>
      <c r="H37" s="237">
        <v>2</v>
      </c>
      <c r="I37" s="223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22" t="s">
        <v>142</v>
      </c>
      <c r="C38" s="227" t="s">
        <v>242</v>
      </c>
      <c r="D38" s="223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23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22" t="s">
        <v>139</v>
      </c>
      <c r="C39" s="227" t="s">
        <v>244</v>
      </c>
      <c r="D39" s="223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23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22" t="s">
        <v>142</v>
      </c>
      <c r="C40" s="227" t="s">
        <v>226</v>
      </c>
      <c r="D40" s="223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23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ht="28.8" x14ac:dyDescent="0.3">
      <c r="A41" s="226">
        <v>120</v>
      </c>
      <c r="B41" s="222" t="s">
        <v>225</v>
      </c>
      <c r="C41" s="232" t="s">
        <v>249</v>
      </c>
      <c r="D41" s="223">
        <v>0.22</v>
      </c>
      <c r="E41" s="222" t="s">
        <v>32</v>
      </c>
      <c r="F41" s="237">
        <v>1</v>
      </c>
      <c r="G41" s="237" t="s">
        <v>224</v>
      </c>
      <c r="H41" s="237">
        <v>2</v>
      </c>
      <c r="I41" s="223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22" t="s">
        <v>142</v>
      </c>
      <c r="C42" s="227" t="s">
        <v>227</v>
      </c>
      <c r="D42" s="223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23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23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23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22" t="s">
        <v>225</v>
      </c>
      <c r="C44" s="227" t="s">
        <v>230</v>
      </c>
      <c r="D44" s="223">
        <v>0.3</v>
      </c>
      <c r="E44" s="222" t="s">
        <v>32</v>
      </c>
      <c r="F44" s="237">
        <v>1</v>
      </c>
      <c r="G44" s="237" t="s">
        <v>228</v>
      </c>
      <c r="H44" s="237">
        <v>3</v>
      </c>
      <c r="I44" s="223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23">
        <v>0.15</v>
      </c>
      <c r="E45" s="226" t="s">
        <v>140</v>
      </c>
      <c r="F45" s="237">
        <v>22</v>
      </c>
      <c r="G45" s="237"/>
      <c r="H45" s="221"/>
      <c r="I45" s="223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22" t="s">
        <v>233</v>
      </c>
      <c r="C46" s="232" t="s">
        <v>234</v>
      </c>
      <c r="D46" s="223">
        <v>5.25</v>
      </c>
      <c r="E46" s="222" t="s">
        <v>143</v>
      </c>
      <c r="F46" s="237">
        <v>0.01</v>
      </c>
      <c r="G46" s="237"/>
      <c r="H46" s="221"/>
      <c r="I46" s="223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23">
        <v>0.14000000000000001</v>
      </c>
      <c r="E47" s="226" t="s">
        <v>32</v>
      </c>
      <c r="F47" s="237">
        <v>1</v>
      </c>
      <c r="G47" s="237"/>
      <c r="H47" s="221"/>
      <c r="I47" s="223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22" t="s">
        <v>141</v>
      </c>
      <c r="C48" s="232" t="s">
        <v>236</v>
      </c>
      <c r="D48" s="223">
        <v>0.13</v>
      </c>
      <c r="E48" s="222" t="s">
        <v>32</v>
      </c>
      <c r="F48" s="237">
        <v>4</v>
      </c>
      <c r="G48" s="237"/>
      <c r="H48" s="221"/>
      <c r="I48" s="223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22" t="s">
        <v>141</v>
      </c>
      <c r="C49" s="232" t="s">
        <v>237</v>
      </c>
      <c r="D49" s="223">
        <v>0.13</v>
      </c>
      <c r="E49" s="222" t="s">
        <v>32</v>
      </c>
      <c r="F49" s="237">
        <v>8</v>
      </c>
      <c r="G49" s="237"/>
      <c r="H49" s="221"/>
      <c r="I49" s="223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23">
        <v>0.13</v>
      </c>
      <c r="E50" s="226" t="s">
        <v>32</v>
      </c>
      <c r="F50" s="237">
        <v>2</v>
      </c>
      <c r="G50" s="237"/>
      <c r="H50" s="221"/>
      <c r="I50" s="223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22" t="s">
        <v>145</v>
      </c>
      <c r="C51" s="232" t="s">
        <v>239</v>
      </c>
      <c r="D51" s="223">
        <v>0.25</v>
      </c>
      <c r="E51" s="222" t="s">
        <v>32</v>
      </c>
      <c r="F51" s="237">
        <v>2</v>
      </c>
      <c r="G51" s="237"/>
      <c r="H51" s="221"/>
      <c r="I51" s="223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67"/>
      <c r="B52" s="24"/>
      <c r="C52" s="24"/>
      <c r="D52" s="24"/>
      <c r="E52" s="24"/>
      <c r="F52" s="24"/>
      <c r="G52" s="24"/>
      <c r="H52" s="101" t="s">
        <v>18</v>
      </c>
      <c r="I52" s="100">
        <f>SUM(I30:I51)</f>
        <v>16.033700000000003</v>
      </c>
      <c r="J52" s="56"/>
      <c r="K52" s="56"/>
      <c r="L52" s="56"/>
      <c r="M52" s="56"/>
      <c r="N52" s="56"/>
      <c r="O52" s="62"/>
    </row>
    <row r="53" spans="1:15" x14ac:dyDescent="0.3">
      <c r="A53" s="63"/>
      <c r="B53" s="56"/>
      <c r="C53" s="56"/>
      <c r="D53" s="56"/>
      <c r="E53" s="56"/>
      <c r="F53" s="56"/>
      <c r="G53" s="56"/>
      <c r="H53" s="56"/>
      <c r="I53" s="56"/>
      <c r="J53" s="56"/>
      <c r="K53" s="56"/>
      <c r="L53" s="56"/>
      <c r="M53" s="56"/>
      <c r="N53" s="56"/>
      <c r="O53" s="62"/>
    </row>
    <row r="54" spans="1:15" x14ac:dyDescent="0.3">
      <c r="A54" s="98" t="s">
        <v>14</v>
      </c>
      <c r="B54" s="98" t="s">
        <v>36</v>
      </c>
      <c r="C54" s="98" t="s">
        <v>20</v>
      </c>
      <c r="D54" s="98" t="s">
        <v>21</v>
      </c>
      <c r="E54" s="98" t="s">
        <v>22</v>
      </c>
      <c r="F54" s="98" t="s">
        <v>23</v>
      </c>
      <c r="G54" s="98" t="s">
        <v>24</v>
      </c>
      <c r="H54" s="98" t="s">
        <v>25</v>
      </c>
      <c r="I54" s="98" t="s">
        <v>17</v>
      </c>
      <c r="J54" s="98" t="s">
        <v>18</v>
      </c>
      <c r="K54" s="56"/>
      <c r="L54" s="56"/>
      <c r="M54" s="56"/>
      <c r="N54" s="56"/>
      <c r="O54" s="62"/>
    </row>
    <row r="55" spans="1:15" x14ac:dyDescent="0.3">
      <c r="A55" s="139">
        <v>10</v>
      </c>
      <c r="B55" s="139" t="s">
        <v>146</v>
      </c>
      <c r="C55" s="139" t="s">
        <v>147</v>
      </c>
      <c r="D55" s="142">
        <f>0.8/105154*E55^2*G55*SQRT(G55)+(0.003*EXP(0.319*E55))</f>
        <v>0.16167651505774214</v>
      </c>
      <c r="E55" s="139">
        <v>8</v>
      </c>
      <c r="F55" s="130" t="s">
        <v>30</v>
      </c>
      <c r="G55" s="246">
        <v>40</v>
      </c>
      <c r="H55" s="140" t="s">
        <v>30</v>
      </c>
      <c r="I55" s="131">
        <v>2</v>
      </c>
      <c r="J55" s="132">
        <f>D55*I55</f>
        <v>0.32335303011548427</v>
      </c>
      <c r="K55" s="56"/>
      <c r="L55" s="56"/>
      <c r="M55" s="56"/>
      <c r="N55" s="56"/>
      <c r="O55" s="62"/>
    </row>
    <row r="56" spans="1:15" x14ac:dyDescent="0.3">
      <c r="A56" s="139">
        <v>20</v>
      </c>
      <c r="B56" s="139" t="s">
        <v>146</v>
      </c>
      <c r="C56" s="139" t="s">
        <v>148</v>
      </c>
      <c r="D56" s="142">
        <f>0.8/105154*E56^2*G56*SQRT(G56)+(0.003*EXP(0.319*E56))</f>
        <v>0.26479118861318168</v>
      </c>
      <c r="E56" s="139">
        <v>8</v>
      </c>
      <c r="F56" s="130" t="s">
        <v>30</v>
      </c>
      <c r="G56" s="246">
        <v>60</v>
      </c>
      <c r="H56" s="140" t="s">
        <v>30</v>
      </c>
      <c r="I56" s="133">
        <v>1</v>
      </c>
      <c r="J56" s="129">
        <f>D56*I56</f>
        <v>0.26479118861318168</v>
      </c>
      <c r="K56" s="56"/>
      <c r="L56" s="56"/>
      <c r="M56" s="56"/>
      <c r="N56" s="56"/>
      <c r="O56" s="62"/>
    </row>
    <row r="57" spans="1:15" x14ac:dyDescent="0.3">
      <c r="A57" s="139">
        <v>30</v>
      </c>
      <c r="B57" s="139" t="s">
        <v>149</v>
      </c>
      <c r="C57" s="139" t="s">
        <v>150</v>
      </c>
      <c r="D57" s="143">
        <f>(0.009*EXP(0.2*E57))</f>
        <v>4.4577291819556032E-2</v>
      </c>
      <c r="E57" s="139">
        <v>8</v>
      </c>
      <c r="F57" s="130" t="s">
        <v>30</v>
      </c>
      <c r="G57" s="139"/>
      <c r="H57" s="140"/>
      <c r="I57" s="133">
        <v>3</v>
      </c>
      <c r="J57" s="129">
        <f>D57*I57</f>
        <v>0.1337318754586681</v>
      </c>
      <c r="K57" s="56"/>
      <c r="L57" s="56"/>
      <c r="M57" s="56"/>
      <c r="N57" s="56"/>
      <c r="O57" s="62"/>
    </row>
    <row r="58" spans="1:15" x14ac:dyDescent="0.3">
      <c r="A58" s="139">
        <v>40</v>
      </c>
      <c r="B58" s="139" t="s">
        <v>151</v>
      </c>
      <c r="C58" s="139" t="s">
        <v>152</v>
      </c>
      <c r="D58" s="139">
        <v>0.01</v>
      </c>
      <c r="E58" s="139">
        <v>8</v>
      </c>
      <c r="F58" s="130" t="s">
        <v>30</v>
      </c>
      <c r="G58" s="139"/>
      <c r="H58" s="140"/>
      <c r="I58" s="133">
        <v>6</v>
      </c>
      <c r="J58" s="129">
        <f>D58*I58</f>
        <v>0.06</v>
      </c>
      <c r="K58" s="58"/>
      <c r="L58" s="58"/>
      <c r="M58" s="58"/>
      <c r="N58" s="58"/>
      <c r="O58" s="62"/>
    </row>
    <row r="59" spans="1:15" x14ac:dyDescent="0.3">
      <c r="A59" s="67"/>
      <c r="B59" s="24"/>
      <c r="C59" s="24"/>
      <c r="D59" s="24"/>
      <c r="E59" s="24"/>
      <c r="F59" s="24"/>
      <c r="G59" s="24"/>
      <c r="H59" s="24"/>
      <c r="I59" s="101" t="s">
        <v>18</v>
      </c>
      <c r="J59" s="100">
        <f>SUM(J55:J58)</f>
        <v>0.78187609418733417</v>
      </c>
      <c r="K59" s="56"/>
      <c r="L59" s="56"/>
      <c r="M59" s="56"/>
      <c r="N59" s="56"/>
      <c r="O59" s="62"/>
    </row>
    <row r="60" spans="1:15" x14ac:dyDescent="0.3">
      <c r="A60" s="63"/>
      <c r="B60" s="56"/>
      <c r="C60" s="56"/>
      <c r="D60" s="56"/>
      <c r="E60" s="56"/>
      <c r="F60" s="56"/>
      <c r="G60" s="56"/>
      <c r="H60" s="56"/>
      <c r="I60" s="56"/>
      <c r="J60" s="56"/>
      <c r="K60" s="56"/>
      <c r="L60" s="56"/>
      <c r="M60" s="56"/>
      <c r="N60" s="56"/>
      <c r="O60" s="62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48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49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69"/>
      <c r="B64" s="70"/>
      <c r="C64" s="70"/>
      <c r="D64" s="70"/>
      <c r="E64" s="70"/>
      <c r="F64" s="70"/>
      <c r="G64" s="70"/>
      <c r="H64" s="70"/>
      <c r="I64" s="70"/>
      <c r="J64" s="70"/>
      <c r="K64" s="70"/>
      <c r="L64" s="70"/>
      <c r="M64" s="70"/>
      <c r="N64" s="70"/>
      <c r="O64" s="71"/>
    </row>
    <row r="65" spans="1:14" x14ac:dyDescent="0.3">
      <c r="A65" s="56"/>
      <c r="B65" s="56"/>
      <c r="C65" s="56"/>
      <c r="D65" s="56"/>
      <c r="E65" s="56"/>
      <c r="F65" s="56"/>
      <c r="G65" s="56"/>
      <c r="H65" s="56"/>
      <c r="I65" s="56"/>
      <c r="J65" s="56"/>
      <c r="K65" s="56"/>
      <c r="L65" s="56"/>
      <c r="M65" s="56"/>
      <c r="N65" s="56"/>
    </row>
  </sheetData>
  <hyperlinks>
    <hyperlink ref="B10" location="SU_01001" display="SU_01001"/>
    <hyperlink ref="B11:B13" location="BR_01001" display="BR_01001"/>
    <hyperlink ref="B14" location="SU_01005" display="SU_01005"/>
    <hyperlink ref="B16" location="SU_01007" display="SU_01007"/>
    <hyperlink ref="B11" location="SU_01002" display="SU_01002"/>
    <hyperlink ref="B12" location="SU_01003" display="SU_01003"/>
    <hyperlink ref="B13" location="SU_01004" display="SU_01004"/>
    <hyperlink ref="E2" location="SU_A0100_BOM" display="Back to BOM"/>
    <hyperlink ref="B15" location="SU_01006" display="Spacer 2"/>
    <hyperlink ref="B17" location="SU_01008" display="SU_01008"/>
    <hyperlink ref="B18" location="SU_01010" display="SU_01010"/>
    <hyperlink ref="B19" location="SU_01010" display="SU_01010"/>
    <hyperlink ref="B20" location="SU_01011" display="SU_01011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64" max="16383" man="1"/>
  </rowBreaks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85" zoomScaleNormal="85" workbookViewId="0">
      <selection activeCell="L16" sqref="L16"/>
    </sheetView>
  </sheetViews>
  <sheetFormatPr baseColWidth="10" defaultRowHeight="14.4" x14ac:dyDescent="0.3"/>
  <cols>
    <col min="2" max="2" width="33.88671875" customWidth="1"/>
    <col min="3" max="3" width="46.6640625" customWidth="1"/>
    <col min="5" max="5" width="18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10.001779199999998</v>
      </c>
      <c r="O2" s="62"/>
    </row>
    <row r="3" spans="1:15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73" t="s">
        <v>182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10.001779199999998</v>
      </c>
      <c r="O5" s="62"/>
    </row>
    <row r="6" spans="1:15" x14ac:dyDescent="0.3">
      <c r="A6" s="102" t="s">
        <v>7</v>
      </c>
      <c r="B6" s="28" t="s">
        <v>183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8.8904703999999981</v>
      </c>
      <c r="E11" s="148">
        <f>J11*K11</f>
        <v>2.8134399999999996E-5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253">
        <f>320/1000</f>
        <v>0.32</v>
      </c>
      <c r="L11" s="79">
        <v>1580</v>
      </c>
      <c r="M11" s="147">
        <v>1</v>
      </c>
      <c r="N11" s="30">
        <f>D11*M11</f>
        <v>8.8904703999999981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8.8904703999999981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25">
        <f>J11*K11*L11</f>
        <v>4.4452351999999994E-2</v>
      </c>
      <c r="G15" s="221"/>
      <c r="H15" s="221"/>
      <c r="I15" s="224">
        <f>IF(H15="",D15*F15,D15*F15*H15)</f>
        <v>1.1113087999999998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1.1113087999999998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SU_A0200" display="Lower Front A-arm"/>
    <hyperlink ref="G2" location="SU_A0200_BOM" display="Back to BOM"/>
  </hyperlinks>
  <pageMargins left="0.7" right="0.7" top="0.75" bottom="0.75" header="0.3" footer="0.3"/>
  <pageSetup paperSize="9" orientation="portrait"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9"/>
  <sheetViews>
    <sheetView zoomScale="70" zoomScaleNormal="70" workbookViewId="0">
      <selection activeCell="G2" sqref="G2"/>
    </sheetView>
  </sheetViews>
  <sheetFormatPr baseColWidth="10" defaultRowHeight="14.4" x14ac:dyDescent="0.3"/>
  <cols>
    <col min="2" max="2" width="25.109375" customWidth="1"/>
    <col min="3" max="3" width="30.5546875" customWidth="1"/>
    <col min="9" max="9" width="14" customWidth="1"/>
    <col min="17" max="17" width="12.88671875" bestFit="1" customWidth="1"/>
  </cols>
  <sheetData>
    <row r="1" spans="1:17" x14ac:dyDescent="0.3">
      <c r="A1" s="535"/>
      <c r="B1" s="536"/>
      <c r="C1" s="536"/>
      <c r="D1" s="536"/>
      <c r="E1" s="536"/>
      <c r="F1" s="536"/>
      <c r="G1" s="536"/>
      <c r="H1" s="536"/>
      <c r="I1" s="536"/>
      <c r="J1" s="536"/>
      <c r="K1" s="536"/>
      <c r="L1" s="536"/>
      <c r="M1" s="536"/>
      <c r="N1" s="536"/>
      <c r="O1" s="537"/>
    </row>
    <row r="2" spans="1:17" x14ac:dyDescent="0.3">
      <c r="A2" s="435" t="s">
        <v>0</v>
      </c>
      <c r="B2" s="434" t="s">
        <v>37</v>
      </c>
      <c r="C2" s="467"/>
      <c r="D2" s="467"/>
      <c r="E2" s="467"/>
      <c r="F2" s="467"/>
      <c r="G2" s="437" t="s">
        <v>126</v>
      </c>
      <c r="H2" s="467"/>
      <c r="I2" s="467"/>
      <c r="J2" s="538" t="s">
        <v>1</v>
      </c>
      <c r="K2" s="539">
        <v>81</v>
      </c>
      <c r="L2" s="467"/>
      <c r="M2" s="435" t="s">
        <v>16</v>
      </c>
      <c r="N2" s="540">
        <f>N12+I18</f>
        <v>1.0541703760000001</v>
      </c>
      <c r="O2" s="541"/>
    </row>
    <row r="3" spans="1:17" x14ac:dyDescent="0.3">
      <c r="A3" s="435" t="s">
        <v>3</v>
      </c>
      <c r="B3" s="434" t="str">
        <f>'SU A0200'!B3</f>
        <v>Suspension &amp; Shocks</v>
      </c>
      <c r="C3" s="467"/>
      <c r="D3" s="435" t="s">
        <v>6</v>
      </c>
      <c r="E3" s="542" t="s">
        <v>86</v>
      </c>
      <c r="F3" s="467"/>
      <c r="G3" s="467"/>
      <c r="H3" s="467"/>
      <c r="I3" s="467"/>
      <c r="J3" s="467"/>
      <c r="K3" s="467"/>
      <c r="L3" s="467"/>
      <c r="M3" s="435" t="s">
        <v>4</v>
      </c>
      <c r="N3" s="543">
        <v>2</v>
      </c>
      <c r="O3" s="541"/>
    </row>
    <row r="4" spans="1:17" x14ac:dyDescent="0.3">
      <c r="A4" s="435" t="s">
        <v>5</v>
      </c>
      <c r="B4" s="437" t="s">
        <v>176</v>
      </c>
      <c r="C4" s="467"/>
      <c r="D4" s="435" t="s">
        <v>8</v>
      </c>
      <c r="E4" s="467"/>
      <c r="F4" s="467"/>
      <c r="G4" s="467"/>
      <c r="H4" s="467"/>
      <c r="I4" s="467"/>
      <c r="J4" s="544" t="s">
        <v>6</v>
      </c>
      <c r="K4" s="467"/>
      <c r="L4" s="467"/>
      <c r="M4" s="467"/>
      <c r="N4" s="467"/>
      <c r="O4" s="541"/>
    </row>
    <row r="5" spans="1:17" x14ac:dyDescent="0.3">
      <c r="A5" s="435" t="s">
        <v>15</v>
      </c>
      <c r="B5" s="545" t="s">
        <v>193</v>
      </c>
      <c r="C5" s="467"/>
      <c r="D5" s="435" t="s">
        <v>12</v>
      </c>
      <c r="E5" s="467"/>
      <c r="F5" s="467"/>
      <c r="G5" s="467"/>
      <c r="H5" s="467"/>
      <c r="I5" s="467"/>
      <c r="J5" s="544" t="s">
        <v>8</v>
      </c>
      <c r="K5" s="467"/>
      <c r="L5" s="467"/>
      <c r="M5" s="435" t="s">
        <v>9</v>
      </c>
      <c r="N5" s="540">
        <f>N3*N2</f>
        <v>2.1083407520000002</v>
      </c>
      <c r="O5" s="541"/>
    </row>
    <row r="6" spans="1:17" x14ac:dyDescent="0.3">
      <c r="A6" s="435" t="s">
        <v>7</v>
      </c>
      <c r="B6" s="439" t="s">
        <v>184</v>
      </c>
      <c r="C6" s="467"/>
      <c r="D6" s="467"/>
      <c r="E6" s="467"/>
      <c r="F6" s="467"/>
      <c r="G6" s="467"/>
      <c r="H6" s="467"/>
      <c r="I6" s="467"/>
      <c r="J6" s="544" t="s">
        <v>12</v>
      </c>
      <c r="K6" s="467"/>
      <c r="L6" s="467"/>
      <c r="M6" s="467"/>
      <c r="N6" s="467"/>
      <c r="O6" s="541"/>
    </row>
    <row r="7" spans="1:17" x14ac:dyDescent="0.3">
      <c r="A7" s="435" t="s">
        <v>10</v>
      </c>
      <c r="B7" s="434"/>
      <c r="C7" s="467"/>
      <c r="D7" s="467"/>
      <c r="E7" s="467"/>
      <c r="F7" s="467"/>
      <c r="G7" s="467"/>
      <c r="H7" s="467"/>
      <c r="I7" s="467"/>
      <c r="J7" s="467"/>
      <c r="K7" s="467"/>
      <c r="L7" s="467"/>
      <c r="M7" s="467"/>
      <c r="N7" s="467"/>
      <c r="O7" s="541"/>
    </row>
    <row r="8" spans="1:17" x14ac:dyDescent="0.3">
      <c r="A8" s="435" t="s">
        <v>13</v>
      </c>
      <c r="B8" s="434"/>
      <c r="C8" s="467"/>
      <c r="D8" s="467"/>
      <c r="E8" s="467"/>
      <c r="F8" s="467"/>
      <c r="G8" s="467"/>
      <c r="H8" s="467"/>
      <c r="I8" s="467"/>
      <c r="J8" s="467"/>
      <c r="K8" s="467"/>
      <c r="L8" s="467"/>
      <c r="M8" s="467"/>
      <c r="N8" s="467"/>
      <c r="O8" s="541"/>
    </row>
    <row r="9" spans="1:17" x14ac:dyDescent="0.3">
      <c r="A9" s="546"/>
      <c r="B9" s="547"/>
      <c r="C9" s="547"/>
      <c r="D9" s="547"/>
      <c r="E9" s="547"/>
      <c r="F9" s="467"/>
      <c r="G9" s="467"/>
      <c r="H9" s="467"/>
      <c r="I9" s="467"/>
      <c r="J9" s="467"/>
      <c r="K9" s="467"/>
      <c r="L9" s="467"/>
      <c r="M9" s="467"/>
      <c r="N9" s="467"/>
      <c r="O9" s="541"/>
    </row>
    <row r="10" spans="1:17" x14ac:dyDescent="0.3">
      <c r="A10" s="548" t="s">
        <v>14</v>
      </c>
      <c r="B10" s="549" t="s">
        <v>19</v>
      </c>
      <c r="C10" s="549" t="s">
        <v>20</v>
      </c>
      <c r="D10" s="549" t="s">
        <v>21</v>
      </c>
      <c r="E10" s="549" t="s">
        <v>22</v>
      </c>
      <c r="F10" s="550" t="s">
        <v>23</v>
      </c>
      <c r="G10" s="550" t="s">
        <v>24</v>
      </c>
      <c r="H10" s="550" t="s">
        <v>25</v>
      </c>
      <c r="I10" s="550" t="s">
        <v>26</v>
      </c>
      <c r="J10" s="550" t="s">
        <v>27</v>
      </c>
      <c r="K10" s="550" t="s">
        <v>28</v>
      </c>
      <c r="L10" s="550" t="s">
        <v>29</v>
      </c>
      <c r="M10" s="550" t="s">
        <v>17</v>
      </c>
      <c r="N10" s="550" t="s">
        <v>18</v>
      </c>
      <c r="O10" s="541"/>
    </row>
    <row r="11" spans="1:17" x14ac:dyDescent="0.3">
      <c r="A11" s="551">
        <v>10</v>
      </c>
      <c r="B11" s="552" t="s">
        <v>166</v>
      </c>
      <c r="C11" s="553" t="s">
        <v>38</v>
      </c>
      <c r="D11" s="554">
        <v>2.25</v>
      </c>
      <c r="E11" s="555">
        <f>J11*K11*L11/1000000000</f>
        <v>1.3409056000000001E-2</v>
      </c>
      <c r="F11" s="553" t="s">
        <v>162</v>
      </c>
      <c r="G11" s="553"/>
      <c r="H11" s="556"/>
      <c r="I11" s="557" t="s">
        <v>165</v>
      </c>
      <c r="J11" s="558">
        <f>3.14*8*8</f>
        <v>200.96</v>
      </c>
      <c r="K11" s="559">
        <v>8.5</v>
      </c>
      <c r="L11" s="560">
        <v>7850</v>
      </c>
      <c r="M11" s="561">
        <v>1</v>
      </c>
      <c r="N11" s="554">
        <f>D11*E11</f>
        <v>3.0170376000000002E-2</v>
      </c>
      <c r="O11" s="562"/>
      <c r="Q11" s="135"/>
    </row>
    <row r="12" spans="1:17" x14ac:dyDescent="0.3">
      <c r="A12" s="563"/>
      <c r="B12" s="564"/>
      <c r="C12" s="564"/>
      <c r="D12" s="564"/>
      <c r="E12" s="564"/>
      <c r="F12" s="564"/>
      <c r="G12" s="564"/>
      <c r="H12" s="564"/>
      <c r="I12" s="564"/>
      <c r="J12" s="564"/>
      <c r="K12" s="564"/>
      <c r="L12" s="564"/>
      <c r="M12" s="565" t="s">
        <v>18</v>
      </c>
      <c r="N12" s="566">
        <f>SUM(N11:N11)</f>
        <v>3.0170376000000002E-2</v>
      </c>
      <c r="O12" s="541"/>
    </row>
    <row r="13" spans="1:17" x14ac:dyDescent="0.3">
      <c r="A13" s="567"/>
      <c r="B13" s="467"/>
      <c r="C13" s="467"/>
      <c r="D13" s="467"/>
      <c r="E13" s="467"/>
      <c r="F13" s="467"/>
      <c r="G13" s="467"/>
      <c r="H13" s="467"/>
      <c r="I13" s="467"/>
      <c r="J13" s="467"/>
      <c r="K13" s="467"/>
      <c r="L13" s="467"/>
      <c r="M13" s="467"/>
      <c r="N13" s="467"/>
      <c r="O13" s="541"/>
    </row>
    <row r="14" spans="1:17" x14ac:dyDescent="0.3">
      <c r="A14" s="568" t="s">
        <v>14</v>
      </c>
      <c r="B14" s="550" t="s">
        <v>31</v>
      </c>
      <c r="C14" s="550" t="s">
        <v>20</v>
      </c>
      <c r="D14" s="550" t="s">
        <v>21</v>
      </c>
      <c r="E14" s="550" t="s">
        <v>32</v>
      </c>
      <c r="F14" s="550" t="s">
        <v>17</v>
      </c>
      <c r="G14" s="550" t="s">
        <v>33</v>
      </c>
      <c r="H14" s="550" t="s">
        <v>34</v>
      </c>
      <c r="I14" s="550" t="s">
        <v>18</v>
      </c>
      <c r="J14" s="564"/>
      <c r="K14" s="564"/>
      <c r="L14" s="564"/>
      <c r="M14" s="564"/>
      <c r="N14" s="564"/>
      <c r="O14" s="541"/>
    </row>
    <row r="15" spans="1:17" ht="31.2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7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0.2</v>
      </c>
      <c r="G16" s="397" t="s">
        <v>268</v>
      </c>
      <c r="H16" s="397">
        <v>3</v>
      </c>
      <c r="I16" s="346">
        <f>IF(H16="",D16*F16,D16*F16*H16)</f>
        <v>2.4E-2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563"/>
      <c r="B18" s="564"/>
      <c r="C18" s="564"/>
      <c r="D18" s="564"/>
      <c r="E18" s="564"/>
      <c r="F18" s="564"/>
      <c r="G18" s="564"/>
      <c r="H18" s="569" t="s">
        <v>18</v>
      </c>
      <c r="I18" s="566">
        <f>SUM(I15:I17)</f>
        <v>1.024</v>
      </c>
      <c r="J18" s="564"/>
      <c r="K18" s="564"/>
      <c r="L18" s="564"/>
      <c r="M18" s="564"/>
      <c r="N18" s="564"/>
      <c r="O18" s="541"/>
    </row>
    <row r="19" spans="1:15" ht="15" thickBot="1" x14ac:dyDescent="0.35">
      <c r="A19" s="570"/>
      <c r="B19" s="571"/>
      <c r="C19" s="571"/>
      <c r="D19" s="571"/>
      <c r="E19" s="571"/>
      <c r="F19" s="571"/>
      <c r="G19" s="571"/>
      <c r="H19" s="571"/>
      <c r="I19" s="571"/>
      <c r="J19" s="571"/>
      <c r="K19" s="571"/>
      <c r="L19" s="571"/>
      <c r="M19" s="571"/>
      <c r="N19" s="571"/>
      <c r="O19" s="572"/>
    </row>
  </sheetData>
  <hyperlinks>
    <hyperlink ref="B4" location="SU_A0200" display="Lower Front A-arm"/>
    <hyperlink ref="E3" location="dSU_02005" display="Drawing"/>
    <hyperlink ref="G2" location="SU_A0200_BOM" display="Back to BOM"/>
  </hyperlinks>
  <pageMargins left="0.7" right="0.7" top="0.75" bottom="0.75" header="0.3" footer="0.3"/>
  <pageSetup paperSize="9" orientation="portrait"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>
      <selection activeCell="B1" sqref="B1"/>
    </sheetView>
  </sheetViews>
  <sheetFormatPr baseColWidth="10" defaultRowHeight="14.4" x14ac:dyDescent="0.3"/>
  <cols>
    <col min="1" max="1" width="22.5546875" customWidth="1"/>
  </cols>
  <sheetData>
    <row r="1" spans="1:2" x14ac:dyDescent="0.3">
      <c r="A1" t="s">
        <v>170</v>
      </c>
      <c r="B1" s="89" t="s">
        <v>184</v>
      </c>
    </row>
  </sheetData>
  <hyperlinks>
    <hyperlink ref="B1" location="SU_02005" display="SU_02005"/>
  </hyperlinks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9"/>
  <sheetViews>
    <sheetView zoomScale="90" zoomScaleNormal="90" workbookViewId="0">
      <selection activeCell="G2" sqref="G2"/>
    </sheetView>
  </sheetViews>
  <sheetFormatPr baseColWidth="10" defaultRowHeight="14.4" x14ac:dyDescent="0.3"/>
  <cols>
    <col min="2" max="2" width="10.55468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N12+I18</f>
        <v>1.1551782399999999</v>
      </c>
      <c r="O2" s="62"/>
    </row>
    <row r="3" spans="1:15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4</v>
      </c>
      <c r="O3" s="62"/>
    </row>
    <row r="4" spans="1:15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18" t="s">
        <v>192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4.6207129599999996</v>
      </c>
      <c r="O5" s="62"/>
    </row>
    <row r="6" spans="1:15" x14ac:dyDescent="0.3">
      <c r="A6" s="102" t="s">
        <v>7</v>
      </c>
      <c r="B6" s="28" t="s">
        <v>185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ht="28.8" x14ac:dyDescent="0.3">
      <c r="A11" s="322">
        <v>10</v>
      </c>
      <c r="B11" s="523" t="s">
        <v>278</v>
      </c>
      <c r="C11" s="573"/>
      <c r="D11" s="574">
        <v>2.25</v>
      </c>
      <c r="E11" s="374">
        <f>J11*K11*L11</f>
        <v>6.3101440000000009E-2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401">
        <v>0.04</v>
      </c>
      <c r="L11" s="377">
        <v>7850</v>
      </c>
      <c r="M11" s="378">
        <v>1</v>
      </c>
      <c r="N11" s="379">
        <f>D11*E11*M11</f>
        <v>0.14197824000000003</v>
      </c>
      <c r="O11" s="380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0.14197824000000003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ht="29.4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5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0.11</v>
      </c>
      <c r="G16" s="397" t="s">
        <v>268</v>
      </c>
      <c r="H16" s="397">
        <v>3</v>
      </c>
      <c r="I16" s="346">
        <f>IF(H16="",D16*F16,D16*F16*H16)</f>
        <v>1.32E-2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67"/>
      <c r="B18" s="24"/>
      <c r="C18" s="24"/>
      <c r="D18" s="24"/>
      <c r="E18" s="24"/>
      <c r="F18" s="24"/>
      <c r="G18" s="24"/>
      <c r="H18" s="111" t="s">
        <v>18</v>
      </c>
      <c r="I18" s="109">
        <f>SUM(I15:I17)</f>
        <v>1.0131999999999999</v>
      </c>
      <c r="J18" s="24"/>
      <c r="K18" s="24"/>
      <c r="L18" s="24"/>
      <c r="M18" s="24"/>
      <c r="N18" s="24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B4" location="SU_A0200" display="Lower Front A-arm"/>
    <hyperlink ref="E3" location="dSU_02005" display="Drawing"/>
    <hyperlink ref="G2" location="SU_A0200_BOM" display="Back to BOM"/>
  </hyperlinks>
  <pageMargins left="0.7" right="0.7" top="0.75" bottom="0.75" header="0.3" footer="0.3"/>
  <pageSetup paperSize="9" orientation="portrait"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2.5546875" customWidth="1"/>
  </cols>
  <sheetData>
    <row r="1" spans="1:2" x14ac:dyDescent="0.3">
      <c r="A1" t="s">
        <v>195</v>
      </c>
      <c r="B1" s="89" t="str">
        <f>SU_02006</f>
        <v>SU_02006</v>
      </c>
    </row>
  </sheetData>
  <hyperlinks>
    <hyperlink ref="B1" location="SU_02006" display="SU_02006"/>
  </hyperlinks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7"/>
  <sheetViews>
    <sheetView zoomScale="90" zoomScaleNormal="90" workbookViewId="0">
      <selection activeCell="N3" sqref="N3"/>
    </sheetView>
  </sheetViews>
  <sheetFormatPr baseColWidth="10" defaultRowHeight="14.4" x14ac:dyDescent="0.3"/>
  <cols>
    <col min="2" max="2" width="28.6640625" customWidth="1"/>
    <col min="3" max="3" width="24.33203125" customWidth="1"/>
    <col min="9" max="9" width="15.33203125" customWidth="1"/>
    <col min="17" max="17" width="12.88671875" bestFit="1" customWidth="1"/>
  </cols>
  <sheetData>
    <row r="1" spans="1:17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7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0.47719727680000001</v>
      </c>
      <c r="O2" s="62"/>
    </row>
    <row r="3" spans="1:17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7" x14ac:dyDescent="0.3">
      <c r="A4" s="102" t="s">
        <v>5</v>
      </c>
      <c r="B4" s="89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7" x14ac:dyDescent="0.3">
      <c r="A5" s="102" t="s">
        <v>15</v>
      </c>
      <c r="B5" s="72" t="s">
        <v>135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0.95439455360000003</v>
      </c>
      <c r="O5" s="62"/>
    </row>
    <row r="6" spans="1:17" x14ac:dyDescent="0.3">
      <c r="A6" s="102" t="s">
        <v>7</v>
      </c>
      <c r="B6" s="28" t="s">
        <v>196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7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7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7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7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s="184" customFormat="1" ht="17.399999999999999" customHeight="1" x14ac:dyDescent="0.3">
      <c r="A11" s="403">
        <v>10</v>
      </c>
      <c r="B11" s="404" t="s">
        <v>273</v>
      </c>
      <c r="C11" s="403" t="s">
        <v>274</v>
      </c>
      <c r="D11" s="405">
        <v>4.2</v>
      </c>
      <c r="E11" s="406">
        <v>12</v>
      </c>
      <c r="F11" s="403" t="s">
        <v>30</v>
      </c>
      <c r="G11" s="403"/>
      <c r="H11" s="407"/>
      <c r="I11" s="408" t="s">
        <v>275</v>
      </c>
      <c r="J11" s="409">
        <f>3.14*0.006^2</f>
        <v>1.1304E-4</v>
      </c>
      <c r="K11" s="410">
        <v>0.06</v>
      </c>
      <c r="L11" s="415">
        <v>2710</v>
      </c>
      <c r="M11" s="411">
        <v>1</v>
      </c>
      <c r="N11" s="346">
        <f>IF(J11="",D11*M11,D11*J11*K11*L11*M11)</f>
        <v>7.7197276800000006E-2</v>
      </c>
      <c r="O11" s="416"/>
    </row>
    <row r="12" spans="1:17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7.7197276800000006E-2</v>
      </c>
      <c r="O12" s="62"/>
    </row>
    <row r="13" spans="1:17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Q13" s="135"/>
    </row>
    <row r="14" spans="1:17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7" x14ac:dyDescent="0.3">
      <c r="A15" s="342">
        <v>10</v>
      </c>
      <c r="B15" s="339" t="s">
        <v>272</v>
      </c>
      <c r="C15" s="412"/>
      <c r="D15" s="413">
        <v>0.4</v>
      </c>
      <c r="E15" s="342" t="s">
        <v>40</v>
      </c>
      <c r="F15" s="342">
        <v>1</v>
      </c>
      <c r="G15" s="342"/>
      <c r="H15" s="342"/>
      <c r="I15" s="414">
        <f>IF(H15="",D15*F15,D15*F15*H15)</f>
        <v>0.4</v>
      </c>
      <c r="J15" s="388"/>
      <c r="K15" s="388"/>
      <c r="L15" s="388"/>
      <c r="M15" s="388"/>
      <c r="N15" s="388"/>
      <c r="O15" s="389"/>
    </row>
    <row r="16" spans="1:17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0.4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E3" location="'SU Drawing Part 6'!A1" display="Drawing"/>
    <hyperlink ref="B4" location="SU_A0200" display="Lower Front A-arm"/>
    <hyperlink ref="G2" location="SU_A02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>
      <selection activeCell="B1" sqref="B1"/>
    </sheetView>
  </sheetViews>
  <sheetFormatPr baseColWidth="10" defaultRowHeight="14.4" x14ac:dyDescent="0.3"/>
  <cols>
    <col min="1" max="1" width="20" customWidth="1"/>
  </cols>
  <sheetData>
    <row r="1" spans="1:2" x14ac:dyDescent="0.3">
      <c r="A1" t="s">
        <v>170</v>
      </c>
      <c r="B1" s="89" t="str">
        <f>SU_02007</f>
        <v>SU_02007</v>
      </c>
    </row>
  </sheetData>
  <hyperlinks>
    <hyperlink ref="B1" location="SU_02007" display="SU_02007"/>
  </hyperlinks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3" max="3" width="16.88671875" customWidth="1"/>
    <col min="7" max="7" width="13.109375" customWidth="1"/>
    <col min="9" max="9" width="13.77734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1.3868720000000001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287" t="s">
        <v>176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289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1.3868720000000001</v>
      </c>
      <c r="O5" s="436"/>
    </row>
    <row r="6" spans="1:15" x14ac:dyDescent="0.3">
      <c r="A6" s="433" t="s">
        <v>7</v>
      </c>
      <c r="B6" s="439" t="s">
        <v>303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30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4.5215999999999999E-2</v>
      </c>
      <c r="F11" s="445" t="s">
        <v>212</v>
      </c>
      <c r="G11" s="445"/>
      <c r="H11" s="446"/>
      <c r="I11" s="447" t="s">
        <v>309</v>
      </c>
      <c r="J11" s="448">
        <f>0.048*0.024</f>
        <v>1.152E-3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0.10173600000000001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2.3040000000000001E-3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2.3040000000000001E-2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0.12477600000000001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44.4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15.5</v>
      </c>
      <c r="G17" s="453"/>
      <c r="H17" s="456"/>
      <c r="I17" s="457">
        <f>IF(H17="",D17*F17,D17*F17*H17)</f>
        <v>0.155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28.8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2.3040000000000001E-3</v>
      </c>
      <c r="G20" s="453"/>
      <c r="H20" s="456"/>
      <c r="I20" s="464">
        <f>F20*D20</f>
        <v>1.2096000000000001E-2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1.2620960000000001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B4" location="SU_A0200" display="Lower Front A-arm"/>
    <hyperlink ref="F2" location="SU_A0200_BOM" display="Back to BOM"/>
    <hyperlink ref="E3" location="dSU_02008" display="Drawing"/>
  </hyperlinks>
  <pageMargins left="0.7" right="0.7" top="0.75" bottom="0.75" header="0.3" footer="0.3"/>
  <pageSetup paperSize="9" orientation="portrait"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2.6640625" customWidth="1"/>
  </cols>
  <sheetData>
    <row r="1" spans="1:2" x14ac:dyDescent="0.3">
      <c r="A1" t="s">
        <v>195</v>
      </c>
      <c r="B1" s="287" t="s">
        <v>303</v>
      </c>
    </row>
  </sheetData>
  <hyperlinks>
    <hyperlink ref="B1" location="SU_02008" display="SU_02008"/>
  </hyperlinks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9" max="9" width="14.109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1.4357435000000001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287" t="s">
        <v>176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290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1.4357435000000001</v>
      </c>
      <c r="O5" s="436"/>
    </row>
    <row r="6" spans="1:15" x14ac:dyDescent="0.3">
      <c r="A6" s="433" t="s">
        <v>7</v>
      </c>
      <c r="B6" s="439" t="s">
        <v>305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30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5.8717999999999999E-2</v>
      </c>
      <c r="F11" s="445" t="s">
        <v>212</v>
      </c>
      <c r="G11" s="445"/>
      <c r="H11" s="446"/>
      <c r="I11" s="447" t="s">
        <v>310</v>
      </c>
      <c r="J11" s="448">
        <f>0.068*0.022</f>
        <v>1.4959999999999999E-3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0.1321155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2.9919999999999999E-3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2.9919999999999999E-2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0.1620355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57.6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16.3</v>
      </c>
      <c r="G17" s="453"/>
      <c r="H17" s="456"/>
      <c r="I17" s="457">
        <f>IF(H17="",D17*F17,D17*F17*H17)</f>
        <v>0.16300000000000001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28.8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2.9919999999999999E-3</v>
      </c>
      <c r="G20" s="453"/>
      <c r="H20" s="456"/>
      <c r="I20" s="464">
        <f>F20*D20</f>
        <v>1.5708E-2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1.2737080000000001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B4" location="SU_A0200" display="Lower Front A-arm"/>
    <hyperlink ref="F2" location="SU_A0200_BOM" display="Back to BOM"/>
    <hyperlink ref="E3" location="dSU_02009" display="Drawing"/>
  </hyperlinks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7"/>
  <sheetViews>
    <sheetView zoomScale="70" zoomScaleNormal="70" workbookViewId="0">
      <selection activeCell="G2" sqref="G2"/>
    </sheetView>
  </sheetViews>
  <sheetFormatPr baseColWidth="10" defaultColWidth="9.109375" defaultRowHeight="14.4" x14ac:dyDescent="0.3"/>
  <cols>
    <col min="2" max="2" width="24.44140625" customWidth="1"/>
    <col min="3" max="3" width="24.5546875" customWidth="1"/>
    <col min="9" max="9" width="11" customWidth="1"/>
    <col min="10" max="11" width="10" bestFit="1" customWidth="1"/>
    <col min="15" max="15" width="3.109375" customWidth="1"/>
    <col min="18" max="19" width="16.3320312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SU_01001_m+SU_01001_p</f>
        <v>15.090551905600002</v>
      </c>
      <c r="O2" s="62"/>
    </row>
    <row r="3" spans="1:19" x14ac:dyDescent="0.3">
      <c r="A3" s="102" t="s">
        <v>3</v>
      </c>
      <c r="B3" s="16" t="str">
        <f>'SU A0100'!B3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9" x14ac:dyDescent="0.3">
      <c r="A4" s="102" t="s">
        <v>5</v>
      </c>
      <c r="B4" s="88" t="str">
        <f>'SU A0100'!B4</f>
        <v>Upper Front A-arm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18" t="s">
        <v>156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15.090551905600002</v>
      </c>
      <c r="O5" s="62"/>
    </row>
    <row r="6" spans="1:19" x14ac:dyDescent="0.3">
      <c r="A6" s="102" t="s">
        <v>7</v>
      </c>
      <c r="B6" s="28" t="s">
        <v>173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s="22" customFormat="1" x14ac:dyDescent="0.3">
      <c r="A11" s="85">
        <v>10</v>
      </c>
      <c r="B11" s="26" t="s">
        <v>132</v>
      </c>
      <c r="C11" s="20" t="s">
        <v>38</v>
      </c>
      <c r="D11" s="30">
        <f>4.2</f>
        <v>4.2</v>
      </c>
      <c r="E11" s="20"/>
      <c r="F11" s="20"/>
      <c r="G11" s="20"/>
      <c r="H11" s="19"/>
      <c r="I11" s="21" t="s">
        <v>133</v>
      </c>
      <c r="J11" s="253">
        <f>69*73/1000000</f>
        <v>5.0369999999999998E-3</v>
      </c>
      <c r="K11" s="253">
        <v>4.7E-2</v>
      </c>
      <c r="L11" s="79">
        <v>2712</v>
      </c>
      <c r="M11" s="23">
        <v>1</v>
      </c>
      <c r="N11" s="30">
        <f>D11*M11*L11*K11*J11</f>
        <v>2.6965519055999998</v>
      </c>
      <c r="O11" s="66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2.6965519055999998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s="25" customFormat="1" ht="28.8" customHeight="1" x14ac:dyDescent="0.3">
      <c r="A15" s="254">
        <v>10</v>
      </c>
      <c r="B15" s="255" t="s">
        <v>39</v>
      </c>
      <c r="C15" s="254"/>
      <c r="D15" s="256">
        <v>1.3</v>
      </c>
      <c r="E15" s="255" t="s">
        <v>32</v>
      </c>
      <c r="F15" s="261">
        <v>1</v>
      </c>
      <c r="G15" s="31"/>
      <c r="H15" s="31"/>
      <c r="I15" s="32">
        <f t="shared" ref="I15:I25" si="0">IF(H15="",D15*F15,D15*F15*H15)</f>
        <v>1.3</v>
      </c>
      <c r="J15" s="58"/>
      <c r="K15" s="58"/>
      <c r="L15" s="58"/>
      <c r="M15" s="58"/>
      <c r="N15" s="58"/>
      <c r="O15" s="68"/>
    </row>
    <row r="16" spans="1:19" ht="44.4" customHeight="1" x14ac:dyDescent="0.3">
      <c r="A16" s="257">
        <v>20</v>
      </c>
      <c r="B16" s="255" t="s">
        <v>159</v>
      </c>
      <c r="C16" s="258" t="s">
        <v>256</v>
      </c>
      <c r="D16" s="259">
        <v>0.04</v>
      </c>
      <c r="E16" s="257" t="s">
        <v>161</v>
      </c>
      <c r="F16" s="260">
        <v>153</v>
      </c>
      <c r="G16" s="27"/>
      <c r="H16" s="26"/>
      <c r="I16" s="32">
        <f t="shared" si="0"/>
        <v>6.12</v>
      </c>
      <c r="J16" s="56"/>
      <c r="K16" s="56"/>
      <c r="L16" s="56"/>
      <c r="M16" s="56"/>
      <c r="N16" s="56"/>
      <c r="O16" s="62"/>
      <c r="R16" s="135"/>
    </row>
    <row r="17" spans="1:18" s="17" customFormat="1" ht="15" customHeight="1" x14ac:dyDescent="0.3">
      <c r="A17" s="254">
        <v>30</v>
      </c>
      <c r="B17" s="255" t="s">
        <v>158</v>
      </c>
      <c r="C17" s="254"/>
      <c r="D17" s="256">
        <v>0.65</v>
      </c>
      <c r="E17" s="255" t="s">
        <v>32</v>
      </c>
      <c r="F17" s="261">
        <v>1</v>
      </c>
      <c r="G17" s="26"/>
      <c r="H17" s="26"/>
      <c r="I17" s="32">
        <f t="shared" si="0"/>
        <v>0.65</v>
      </c>
      <c r="J17" s="57"/>
      <c r="K17" s="57"/>
      <c r="L17" s="57"/>
      <c r="M17" s="57"/>
      <c r="N17" s="57"/>
      <c r="O17" s="65"/>
      <c r="R17" s="136"/>
    </row>
    <row r="18" spans="1:18" ht="18.600000000000001" customHeight="1" x14ac:dyDescent="0.3">
      <c r="A18" s="257">
        <v>40</v>
      </c>
      <c r="B18" s="255" t="s">
        <v>159</v>
      </c>
      <c r="C18" s="258" t="s">
        <v>257</v>
      </c>
      <c r="D18" s="259">
        <v>0.04</v>
      </c>
      <c r="E18" s="257" t="s">
        <v>161</v>
      </c>
      <c r="F18" s="260">
        <v>2.2999999999999998</v>
      </c>
      <c r="G18" s="27"/>
      <c r="H18" s="26"/>
      <c r="I18" s="32">
        <f t="shared" si="0"/>
        <v>9.1999999999999998E-2</v>
      </c>
      <c r="J18" s="56"/>
      <c r="K18" s="56"/>
      <c r="L18" s="56"/>
      <c r="M18" s="56"/>
      <c r="N18" s="56"/>
      <c r="O18" s="62"/>
      <c r="R18" s="135"/>
    </row>
    <row r="19" spans="1:18" ht="29.4" customHeight="1" x14ac:dyDescent="0.3">
      <c r="A19" s="254">
        <v>50</v>
      </c>
      <c r="B19" s="255" t="s">
        <v>158</v>
      </c>
      <c r="C19" s="254"/>
      <c r="D19" s="256">
        <v>0.65</v>
      </c>
      <c r="E19" s="255" t="s">
        <v>32</v>
      </c>
      <c r="F19" s="261">
        <v>1</v>
      </c>
      <c r="G19" s="26"/>
      <c r="H19" s="26"/>
      <c r="I19" s="32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8" ht="29.4" customHeight="1" x14ac:dyDescent="0.3">
      <c r="A20" s="257">
        <v>60</v>
      </c>
      <c r="B20" s="255" t="s">
        <v>159</v>
      </c>
      <c r="C20" s="258" t="s">
        <v>258</v>
      </c>
      <c r="D20" s="259">
        <v>0.04</v>
      </c>
      <c r="E20" s="257" t="s">
        <v>161</v>
      </c>
      <c r="F20" s="260">
        <v>2.2999999999999998</v>
      </c>
      <c r="G20" s="26"/>
      <c r="H20" s="26"/>
      <c r="I20" s="32">
        <f t="shared" si="0"/>
        <v>9.1999999999999998E-2</v>
      </c>
      <c r="J20" s="56"/>
      <c r="K20" s="56"/>
      <c r="L20" s="56"/>
      <c r="M20" s="56"/>
      <c r="N20" s="56"/>
      <c r="O20" s="62"/>
      <c r="R20" s="135"/>
    </row>
    <row r="21" spans="1:18" ht="14.4" customHeight="1" x14ac:dyDescent="0.3">
      <c r="A21" s="254">
        <v>70</v>
      </c>
      <c r="B21" s="255" t="s">
        <v>158</v>
      </c>
      <c r="C21" s="254"/>
      <c r="D21" s="256">
        <v>0.65</v>
      </c>
      <c r="E21" s="255" t="s">
        <v>32</v>
      </c>
      <c r="F21" s="261">
        <v>1</v>
      </c>
      <c r="G21" s="26"/>
      <c r="H21" s="26"/>
      <c r="I21" s="32">
        <f t="shared" si="0"/>
        <v>0.65</v>
      </c>
      <c r="J21" s="56"/>
      <c r="K21" s="56"/>
      <c r="L21" s="56"/>
      <c r="M21" s="56"/>
      <c r="N21" s="56"/>
      <c r="O21" s="62"/>
      <c r="R21" s="135"/>
    </row>
    <row r="22" spans="1:18" ht="29.4" customHeight="1" x14ac:dyDescent="0.3">
      <c r="A22" s="257">
        <v>80</v>
      </c>
      <c r="B22" s="255" t="s">
        <v>159</v>
      </c>
      <c r="C22" s="258" t="s">
        <v>259</v>
      </c>
      <c r="D22" s="259">
        <v>0.04</v>
      </c>
      <c r="E22" s="257" t="s">
        <v>161</v>
      </c>
      <c r="F22" s="260">
        <v>4</v>
      </c>
      <c r="G22" s="26"/>
      <c r="H22" s="26"/>
      <c r="I22" s="32">
        <f t="shared" si="0"/>
        <v>0.16</v>
      </c>
      <c r="J22" s="56"/>
      <c r="K22" s="56"/>
      <c r="L22" s="56"/>
      <c r="M22" s="56"/>
      <c r="N22" s="56"/>
      <c r="O22" s="62"/>
      <c r="R22" s="135"/>
    </row>
    <row r="23" spans="1:18" ht="16.8" customHeight="1" x14ac:dyDescent="0.3">
      <c r="A23" s="254">
        <v>90</v>
      </c>
      <c r="B23" s="255" t="s">
        <v>158</v>
      </c>
      <c r="C23" s="254"/>
      <c r="D23" s="256">
        <v>0.65</v>
      </c>
      <c r="E23" s="255" t="s">
        <v>32</v>
      </c>
      <c r="F23" s="261">
        <v>1</v>
      </c>
      <c r="G23" s="26"/>
      <c r="H23" s="26"/>
      <c r="I23" s="32">
        <f t="shared" si="0"/>
        <v>0.65</v>
      </c>
      <c r="J23" s="56"/>
      <c r="K23" s="56"/>
      <c r="L23" s="56"/>
      <c r="M23" s="56"/>
      <c r="N23" s="56"/>
      <c r="O23" s="62"/>
      <c r="R23" s="135"/>
    </row>
    <row r="24" spans="1:18" ht="28.8" customHeight="1" x14ac:dyDescent="0.3">
      <c r="A24" s="257">
        <v>100</v>
      </c>
      <c r="B24" s="255" t="s">
        <v>159</v>
      </c>
      <c r="C24" s="258" t="s">
        <v>260</v>
      </c>
      <c r="D24" s="259">
        <v>0.04</v>
      </c>
      <c r="E24" s="257" t="s">
        <v>161</v>
      </c>
      <c r="F24" s="260">
        <v>42</v>
      </c>
      <c r="G24" s="26"/>
      <c r="H24" s="26"/>
      <c r="I24" s="32">
        <f t="shared" si="0"/>
        <v>1.68</v>
      </c>
      <c r="J24" s="56"/>
      <c r="K24" s="56"/>
      <c r="L24" s="56"/>
      <c r="M24" s="56"/>
      <c r="N24" s="56"/>
      <c r="O24" s="62"/>
      <c r="R24" s="135"/>
    </row>
    <row r="25" spans="1:18" ht="28.8" customHeight="1" x14ac:dyDescent="0.3">
      <c r="A25" s="254">
        <v>110</v>
      </c>
      <c r="B25" s="255" t="s">
        <v>261</v>
      </c>
      <c r="C25" s="258" t="s">
        <v>262</v>
      </c>
      <c r="D25" s="259">
        <v>0.35</v>
      </c>
      <c r="E25" s="257"/>
      <c r="F25" s="260">
        <v>1</v>
      </c>
      <c r="G25" s="26"/>
      <c r="H25" s="26"/>
      <c r="I25" s="32">
        <f t="shared" si="0"/>
        <v>0.35</v>
      </c>
      <c r="J25" s="56"/>
      <c r="K25" s="56"/>
      <c r="L25" s="56"/>
      <c r="M25" s="56"/>
      <c r="N25" s="56"/>
      <c r="O25" s="62"/>
    </row>
    <row r="26" spans="1:18" x14ac:dyDescent="0.3">
      <c r="A26" s="67"/>
      <c r="B26" s="24"/>
      <c r="C26" s="24"/>
      <c r="D26" s="24"/>
      <c r="E26" s="24"/>
      <c r="F26" s="24"/>
      <c r="G26" s="24"/>
      <c r="H26" s="111" t="s">
        <v>18</v>
      </c>
      <c r="I26" s="109">
        <f>SUM(I15:I25)</f>
        <v>12.394000000000002</v>
      </c>
      <c r="J26" s="24"/>
      <c r="K26" s="24"/>
      <c r="L26" s="24"/>
      <c r="M26" s="24"/>
      <c r="N26" s="24"/>
      <c r="O26" s="62"/>
    </row>
    <row r="27" spans="1:18" ht="15" thickBot="1" x14ac:dyDescent="0.35">
      <c r="A27" s="69"/>
      <c r="B27" s="70"/>
      <c r="C27" s="70"/>
      <c r="D27" s="70"/>
      <c r="E27" s="70"/>
      <c r="F27" s="70"/>
      <c r="G27" s="70"/>
      <c r="H27" s="70"/>
      <c r="I27" s="70"/>
      <c r="J27" s="70"/>
      <c r="K27" s="70"/>
      <c r="L27" s="70"/>
      <c r="M27" s="70"/>
      <c r="N27" s="70"/>
      <c r="O27" s="71"/>
    </row>
  </sheetData>
  <hyperlinks>
    <hyperlink ref="B4" location="'SU A0100'!A1" display="'SU A0100'!A1"/>
    <hyperlink ref="E3" location="dSU_01001" display="Drawing"/>
    <hyperlink ref="G2" location="SU_A0100_BOM" display="Back to BOM"/>
  </hyperlinks>
  <pageMargins left="0.78749999999999998" right="0.78749999999999998" top="1.05277777777778" bottom="1.05277777777778" header="0.78749999999999998" footer="0.78749999999999998"/>
  <pageSetup paperSize="9" scale="52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7" max="16383" man="1"/>
    <brk id="61" max="16383" man="1"/>
  </rowBreaks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3" customWidth="1"/>
  </cols>
  <sheetData>
    <row r="1" spans="1:2" x14ac:dyDescent="0.3">
      <c r="A1" t="s">
        <v>195</v>
      </c>
      <c r="B1" s="287" t="s">
        <v>305</v>
      </c>
    </row>
  </sheetData>
  <hyperlinks>
    <hyperlink ref="B1" location="SU_02009" display="SU_02009"/>
  </hyperlinks>
  <pageMargins left="0.7" right="0.7" top="0.75" bottom="0.75" header="0.3" footer="0.3"/>
  <pageSetup paperSize="9"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18.109375" customWidth="1"/>
    <col min="7" max="7" width="16.109375" customWidth="1"/>
    <col min="9" max="9" width="13.441406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1.3315549999999998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287" t="s">
        <v>176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307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1.3315549999999998</v>
      </c>
      <c r="O5" s="436"/>
    </row>
    <row r="6" spans="1:15" x14ac:dyDescent="0.3">
      <c r="A6" s="433" t="s">
        <v>7</v>
      </c>
      <c r="B6" s="439" t="s">
        <v>306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9.4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3.4539999999999994E-2</v>
      </c>
      <c r="F11" s="445" t="s">
        <v>212</v>
      </c>
      <c r="G11" s="445"/>
      <c r="H11" s="446"/>
      <c r="I11" s="447" t="s">
        <v>311</v>
      </c>
      <c r="J11" s="448">
        <f>0.04*0.022</f>
        <v>8.7999999999999992E-4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7.7715000000000006E-2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1.7599999999999998E-3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1.7599999999999998E-2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9.5315000000000011E-2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43.8" customHeight="1" x14ac:dyDescent="0.3">
      <c r="A16" s="452">
        <v>10</v>
      </c>
      <c r="B16" s="453" t="s">
        <v>39</v>
      </c>
      <c r="C16" s="454" t="s">
        <v>312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13.2</v>
      </c>
      <c r="G17" s="453"/>
      <c r="H17" s="456"/>
      <c r="I17" s="457">
        <f>IF(H17="",D17*F17,D17*F17*H17)</f>
        <v>0.13200000000000001</v>
      </c>
      <c r="J17" s="311"/>
      <c r="K17" s="417"/>
      <c r="L17" s="417"/>
      <c r="M17" s="417"/>
      <c r="N17" s="417"/>
      <c r="O17" s="436"/>
    </row>
    <row r="18" spans="1:15" ht="28.2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26.4" customHeight="1" x14ac:dyDescent="0.3">
      <c r="A20" s="452">
        <v>50</v>
      </c>
      <c r="B20" s="453" t="s">
        <v>233</v>
      </c>
      <c r="C20" s="575" t="s">
        <v>284</v>
      </c>
      <c r="D20" s="315">
        <v>5.25</v>
      </c>
      <c r="E20" s="453" t="s">
        <v>276</v>
      </c>
      <c r="F20" s="465">
        <f>2*J11</f>
        <v>1.7599999999999998E-3</v>
      </c>
      <c r="G20" s="453"/>
      <c r="H20" s="456"/>
      <c r="I20" s="464">
        <f>F20*D20</f>
        <v>9.2399999999999999E-3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1.2362399999999998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B4" location="SU_A0200" display="Lower Front A-arm"/>
    <hyperlink ref="F2" location="SU_A0200_BOM" display="Back to BOM"/>
    <hyperlink ref="E3" location="dSU_02010" display="Drawing"/>
  </hyperlinks>
  <pageMargins left="0.7" right="0.7" top="0.75" bottom="0.75" header="0.3" footer="0.3"/>
  <pageSetup paperSize="9" orientation="portrait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/>
  </sheetViews>
  <sheetFormatPr baseColWidth="10" defaultRowHeight="14.4" x14ac:dyDescent="0.3"/>
  <sheetData>
    <row r="1" spans="1:2" x14ac:dyDescent="0.3">
      <c r="A1" t="s">
        <v>304</v>
      </c>
      <c r="B1" s="287" t="s">
        <v>306</v>
      </c>
    </row>
  </sheetData>
  <hyperlinks>
    <hyperlink ref="B1" location="SU_02010" display="SU_02010"/>
  </hyperlinks>
  <pageMargins left="0.7" right="0.7" top="0.75" bottom="0.75" header="0.3" footer="0.3"/>
  <pageSetup paperSize="9" orientation="portrait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F2" sqref="F2"/>
    </sheetView>
  </sheetViews>
  <sheetFormatPr baseColWidth="10" defaultRowHeight="14.4" x14ac:dyDescent="0.3"/>
  <cols>
    <col min="7" max="7" width="13.441406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1.41506025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394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287" t="s">
        <v>176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292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1.41506025</v>
      </c>
      <c r="O5" s="436"/>
    </row>
    <row r="6" spans="1:15" x14ac:dyDescent="0.3">
      <c r="A6" s="433" t="s">
        <v>7</v>
      </c>
      <c r="B6" s="439" t="s">
        <v>308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5.3537000000000001E-2</v>
      </c>
      <c r="F11" s="445" t="s">
        <v>212</v>
      </c>
      <c r="G11" s="445"/>
      <c r="H11" s="446"/>
      <c r="I11" s="447" t="s">
        <v>280</v>
      </c>
      <c r="J11" s="448">
        <f>0.062*0.022</f>
        <v>1.364E-3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0.12045825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2.728E-3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2.7279999999999999E-2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0.14773825000000002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57.6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15.8</v>
      </c>
      <c r="G17" s="453"/>
      <c r="H17" s="456"/>
      <c r="I17" s="457">
        <f>IF(H17="",D17*F17,D17*F17*H17)</f>
        <v>0.158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28.8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2.728E-3</v>
      </c>
      <c r="G20" s="453"/>
      <c r="H20" s="456"/>
      <c r="I20" s="464">
        <f>F20*D20</f>
        <v>1.4322E-2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1.2673220000000001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B4" location="SU_A0200" display="Lower Front A-arm"/>
    <hyperlink ref="F2" location="SU_A0200_BOM" display="Back to BOM"/>
    <hyperlink ref="E3" location="dSU_01007" display="Drawing"/>
  </hyperlinks>
  <pageMargins left="0.7" right="0.7" top="0.75" bottom="0.75" header="0.3" footer="0.3"/>
  <pageSetup paperSize="9" orientation="portrait"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"/>
  <sheetViews>
    <sheetView workbookViewId="0">
      <selection activeCell="A3" sqref="A3"/>
    </sheetView>
  </sheetViews>
  <sheetFormatPr baseColWidth="10" defaultRowHeight="14.4" x14ac:dyDescent="0.3"/>
  <sheetData>
    <row r="1" spans="1:1" x14ac:dyDescent="0.3">
      <c r="A1" t="s">
        <v>304</v>
      </c>
    </row>
  </sheetData>
  <pageMargins left="0.7" right="0.7" top="0.75" bottom="0.75" header="0.3" footer="0.3"/>
  <pageSetup paperSize="9" orientation="portrait" r:id="rId1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70" zoomScaleNormal="70" zoomScaleSheetLayoutView="80" workbookViewId="0">
      <selection activeCell="B16" sqref="B16"/>
    </sheetView>
  </sheetViews>
  <sheetFormatPr baseColWidth="10" defaultColWidth="9.109375" defaultRowHeight="14.4" x14ac:dyDescent="0.3"/>
  <cols>
    <col min="1" max="1" width="9.109375" style="155"/>
    <col min="2" max="2" width="57.109375" style="155" customWidth="1"/>
    <col min="3" max="3" width="55.6640625" style="155" customWidth="1"/>
    <col min="4" max="4" width="9.109375" style="155"/>
    <col min="5" max="5" width="9.5546875" style="155" customWidth="1"/>
    <col min="6" max="13" width="9.109375" style="155"/>
    <col min="14" max="14" width="11.5546875" style="155" customWidth="1"/>
    <col min="15" max="15" width="5.33203125" style="155" customWidth="1"/>
    <col min="16" max="16384" width="9.10937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56" t="s">
        <v>0</v>
      </c>
      <c r="B2" s="157" t="s">
        <v>37</v>
      </c>
      <c r="C2" s="158"/>
      <c r="D2" s="158"/>
      <c r="E2" s="88" t="s">
        <v>126</v>
      </c>
      <c r="F2" s="158"/>
      <c r="G2" s="158"/>
      <c r="H2" s="158"/>
      <c r="I2" s="158"/>
      <c r="J2" s="156" t="s">
        <v>1</v>
      </c>
      <c r="K2" s="159">
        <v>81</v>
      </c>
      <c r="L2" s="158"/>
      <c r="M2" s="156" t="s">
        <v>2</v>
      </c>
      <c r="N2" s="95">
        <f>SU_A0300_pa+SU_A0300_m+SU_A0300_p+SU_A0300_f</f>
        <v>82.223174550187338</v>
      </c>
      <c r="O2" s="160"/>
    </row>
    <row r="3" spans="1:15" x14ac:dyDescent="0.3">
      <c r="A3" s="156" t="s">
        <v>3</v>
      </c>
      <c r="B3" s="157" t="s">
        <v>129</v>
      </c>
      <c r="C3" s="158"/>
      <c r="D3" s="158"/>
      <c r="E3" s="158"/>
      <c r="F3" s="158"/>
      <c r="G3" s="158"/>
      <c r="H3" s="158"/>
      <c r="I3" s="158"/>
      <c r="J3" s="158"/>
      <c r="K3" s="158"/>
      <c r="L3" s="158"/>
      <c r="M3" s="156" t="s">
        <v>4</v>
      </c>
      <c r="N3" s="82">
        <v>2</v>
      </c>
      <c r="O3" s="160"/>
    </row>
    <row r="4" spans="1:15" x14ac:dyDescent="0.3">
      <c r="A4" s="156" t="s">
        <v>5</v>
      </c>
      <c r="B4" s="161" t="s">
        <v>197</v>
      </c>
      <c r="C4" s="158"/>
      <c r="D4" s="158"/>
      <c r="E4" s="158"/>
      <c r="F4" s="158"/>
      <c r="G4" s="158"/>
      <c r="H4" s="158"/>
      <c r="I4" s="158"/>
      <c r="J4" s="162" t="s">
        <v>6</v>
      </c>
      <c r="K4" s="158"/>
      <c r="L4" s="158"/>
      <c r="M4" s="158"/>
      <c r="N4" s="158"/>
      <c r="O4" s="160"/>
    </row>
    <row r="5" spans="1:15" x14ac:dyDescent="0.3">
      <c r="A5" s="156" t="s">
        <v>7</v>
      </c>
      <c r="B5" s="163" t="s">
        <v>198</v>
      </c>
      <c r="C5" s="158"/>
      <c r="D5" s="158"/>
      <c r="E5" s="158"/>
      <c r="F5" s="158"/>
      <c r="G5" s="158"/>
      <c r="H5" s="158"/>
      <c r="I5" s="158"/>
      <c r="J5" s="162" t="s">
        <v>8</v>
      </c>
      <c r="K5" s="158"/>
      <c r="L5" s="158"/>
      <c r="M5" s="156" t="s">
        <v>9</v>
      </c>
      <c r="N5" s="74">
        <f>N2*N3</f>
        <v>164.44634910037468</v>
      </c>
      <c r="O5" s="160"/>
    </row>
    <row r="6" spans="1:15" x14ac:dyDescent="0.3">
      <c r="A6" s="156" t="s">
        <v>10</v>
      </c>
      <c r="B6" s="157"/>
      <c r="C6" s="158"/>
      <c r="D6" s="158"/>
      <c r="E6" s="158"/>
      <c r="F6" s="158"/>
      <c r="G6" s="158"/>
      <c r="H6" s="158"/>
      <c r="I6" s="158"/>
      <c r="J6" s="162" t="s">
        <v>12</v>
      </c>
      <c r="K6" s="158"/>
      <c r="L6" s="158"/>
      <c r="M6" s="158"/>
      <c r="N6" s="158"/>
      <c r="O6" s="160"/>
    </row>
    <row r="7" spans="1:15" x14ac:dyDescent="0.3">
      <c r="A7" s="156" t="s">
        <v>13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64"/>
      <c r="B8" s="158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56" t="s">
        <v>14</v>
      </c>
      <c r="B9" s="156" t="s">
        <v>15</v>
      </c>
      <c r="C9" s="156" t="s">
        <v>16</v>
      </c>
      <c r="D9" s="156" t="s">
        <v>17</v>
      </c>
      <c r="E9" s="156" t="s">
        <v>18</v>
      </c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65">
        <v>10</v>
      </c>
      <c r="B10" s="86" t="str">
        <f>'SU 03001'!B5</f>
        <v>Upper Back Bearing Support</v>
      </c>
      <c r="C10" s="74">
        <f>'SU 03001'!N2</f>
        <v>16.4854905344</v>
      </c>
      <c r="D10" s="166">
        <f>SU_03001_q</f>
        <v>1</v>
      </c>
      <c r="E10" s="74">
        <f t="shared" ref="E10:E20" si="0">C10*D10</f>
        <v>16.4854905344</v>
      </c>
      <c r="F10" s="158"/>
      <c r="G10" s="158"/>
      <c r="H10" s="158"/>
      <c r="I10" s="158"/>
      <c r="J10" s="158"/>
      <c r="K10" s="158"/>
      <c r="L10" s="158"/>
      <c r="M10" s="158"/>
      <c r="N10" s="158"/>
      <c r="O10" s="160"/>
    </row>
    <row r="11" spans="1:15" x14ac:dyDescent="0.3">
      <c r="A11" s="165">
        <v>20</v>
      </c>
      <c r="B11" s="86" t="str">
        <f>'SU 03002'!B5</f>
        <v>Inner Bearing Support</v>
      </c>
      <c r="C11" s="74">
        <f>'SU 03002'!N2</f>
        <v>3.3353805440000004</v>
      </c>
      <c r="D11" s="166">
        <f>SU_03002_q</f>
        <v>2</v>
      </c>
      <c r="E11" s="74">
        <f t="shared" si="0"/>
        <v>6.6707610880000008</v>
      </c>
      <c r="F11" s="161"/>
      <c r="G11" s="161"/>
      <c r="H11" s="161"/>
      <c r="I11" s="161"/>
      <c r="J11" s="161"/>
      <c r="K11" s="161"/>
      <c r="L11" s="161"/>
      <c r="M11" s="161"/>
      <c r="N11" s="161"/>
      <c r="O11" s="160"/>
    </row>
    <row r="12" spans="1:15" x14ac:dyDescent="0.3">
      <c r="A12" s="165">
        <v>30</v>
      </c>
      <c r="B12" s="86" t="str">
        <f>'SU 03003'!B5</f>
        <v>Upper Back A-arm tube (Front)  Carbon Fiber Tube</v>
      </c>
      <c r="C12" s="74">
        <f>'SU 03003'!N2</f>
        <v>10.876934879999999</v>
      </c>
      <c r="D12" s="166">
        <f>SU_03003_q</f>
        <v>1</v>
      </c>
      <c r="E12" s="74">
        <f t="shared" si="0"/>
        <v>10.876934879999999</v>
      </c>
      <c r="F12" s="161"/>
      <c r="G12" s="161"/>
      <c r="H12" s="161"/>
      <c r="I12" s="161"/>
      <c r="J12" s="161"/>
      <c r="K12" s="161"/>
      <c r="L12" s="161"/>
      <c r="M12" s="161"/>
      <c r="N12" s="161"/>
      <c r="O12" s="64"/>
    </row>
    <row r="13" spans="1:15" s="167" customFormat="1" x14ac:dyDescent="0.3">
      <c r="A13" s="165">
        <v>40</v>
      </c>
      <c r="B13" s="86" t="str">
        <f>'SU 03004'!B5</f>
        <v>Upper Back A-arm tube (Back)  Carbon Fiber Tube</v>
      </c>
      <c r="C13" s="74">
        <f>'SU 03004'!N2</f>
        <v>4.3445228399999989</v>
      </c>
      <c r="D13" s="166">
        <f>SU_03004_q</f>
        <v>1</v>
      </c>
      <c r="E13" s="74">
        <f t="shared" si="0"/>
        <v>4.3445228399999989</v>
      </c>
      <c r="F13" s="161"/>
      <c r="G13" s="161"/>
      <c r="H13" s="161"/>
      <c r="I13" s="161"/>
      <c r="J13" s="161"/>
      <c r="K13" s="161"/>
      <c r="L13" s="161"/>
      <c r="M13" s="161"/>
      <c r="N13" s="161"/>
      <c r="O13" s="64"/>
    </row>
    <row r="14" spans="1:15" s="167" customFormat="1" x14ac:dyDescent="0.3">
      <c r="A14" s="165">
        <v>50</v>
      </c>
      <c r="B14" s="86" t="str">
        <f>'SU 03005'!B5</f>
        <v>Spacer 1</v>
      </c>
      <c r="C14" s="74">
        <f>'SU 03005'!N2</f>
        <v>2.6577472800000002</v>
      </c>
      <c r="D14" s="166">
        <f>SU_03005_q</f>
        <v>2</v>
      </c>
      <c r="E14" s="74">
        <f t="shared" si="0"/>
        <v>5.3154945600000003</v>
      </c>
      <c r="F14" s="161"/>
      <c r="G14" s="161"/>
      <c r="H14" s="161"/>
      <c r="I14" s="161"/>
      <c r="J14" s="161"/>
      <c r="K14" s="161"/>
      <c r="L14" s="161"/>
      <c r="M14" s="161"/>
      <c r="N14" s="161"/>
      <c r="O14" s="168"/>
    </row>
    <row r="15" spans="1:15" s="167" customFormat="1" x14ac:dyDescent="0.3">
      <c r="A15" s="165">
        <v>60</v>
      </c>
      <c r="B15" s="86" t="str">
        <f>'SU 03006'!B5</f>
        <v>Spacer 2</v>
      </c>
      <c r="C15" s="74">
        <f>'SU 03006'!N2</f>
        <v>1.1551782399999999</v>
      </c>
      <c r="D15" s="166">
        <f>SU_03006_q</f>
        <v>4</v>
      </c>
      <c r="E15" s="74"/>
      <c r="F15" s="161"/>
      <c r="G15" s="161"/>
      <c r="H15" s="161"/>
      <c r="I15" s="161"/>
      <c r="J15" s="161"/>
      <c r="K15" s="161"/>
      <c r="L15" s="161"/>
      <c r="M15" s="161"/>
      <c r="N15" s="161"/>
      <c r="O15" s="168"/>
    </row>
    <row r="16" spans="1:15" s="167" customFormat="1" x14ac:dyDescent="0.3">
      <c r="A16" s="165">
        <v>70</v>
      </c>
      <c r="B16" s="86" t="str">
        <f>'SU 03007'!B5</f>
        <v>Outboard A-arm Insert</v>
      </c>
      <c r="C16" s="74">
        <f>'SU 03007'!N2</f>
        <v>0.47719727680000001</v>
      </c>
      <c r="D16" s="166">
        <f>SU_03007_q</f>
        <v>2</v>
      </c>
      <c r="E16" s="74">
        <f t="shared" si="0"/>
        <v>0.95439455360000003</v>
      </c>
      <c r="F16" s="161"/>
      <c r="G16" s="161"/>
      <c r="H16" s="161"/>
      <c r="I16" s="161"/>
      <c r="J16" s="161"/>
      <c r="K16" s="161"/>
      <c r="L16" s="161"/>
      <c r="M16" s="161"/>
      <c r="N16" s="161"/>
      <c r="O16" s="168"/>
    </row>
    <row r="17" spans="1:15" s="17" customFormat="1" x14ac:dyDescent="0.3">
      <c r="A17" s="496">
        <v>80</v>
      </c>
      <c r="B17" s="576" t="str">
        <f>'SU 03008'!B5</f>
        <v>Front up bracket</v>
      </c>
      <c r="C17" s="502">
        <f>'SU 03008'!N2</f>
        <v>1.4969516249999999</v>
      </c>
      <c r="D17" s="486">
        <f>SU_03008_q</f>
        <v>1</v>
      </c>
      <c r="E17" s="502">
        <f t="shared" si="0"/>
        <v>1.4969516249999999</v>
      </c>
      <c r="F17" s="352"/>
      <c r="G17" s="352"/>
      <c r="H17" s="352"/>
      <c r="I17" s="352"/>
      <c r="J17" s="352"/>
      <c r="K17" s="352"/>
      <c r="L17" s="352"/>
      <c r="M17" s="352"/>
      <c r="N17" s="352"/>
      <c r="O17" s="357"/>
    </row>
    <row r="18" spans="1:15" s="17" customFormat="1" x14ac:dyDescent="0.3">
      <c r="A18" s="496">
        <v>90</v>
      </c>
      <c r="B18" s="576" t="str">
        <f>'SU 03009'!B5</f>
        <v>Front down bracket</v>
      </c>
      <c r="C18" s="502">
        <f>'SU 03009'!N2</f>
        <v>1.49211</v>
      </c>
      <c r="D18" s="486">
        <f>SU_03009_q</f>
        <v>1</v>
      </c>
      <c r="E18" s="502">
        <f t="shared" si="0"/>
        <v>1.49211</v>
      </c>
      <c r="F18" s="352"/>
      <c r="G18" s="352"/>
      <c r="H18" s="352"/>
      <c r="I18" s="352"/>
      <c r="J18" s="352"/>
      <c r="K18" s="352"/>
      <c r="L18" s="352"/>
      <c r="M18" s="352"/>
      <c r="N18" s="352"/>
      <c r="O18" s="357"/>
    </row>
    <row r="19" spans="1:15" s="17" customFormat="1" x14ac:dyDescent="0.3">
      <c r="A19" s="496">
        <v>100</v>
      </c>
      <c r="B19" s="576" t="str">
        <f>'SU 03010'!B5</f>
        <v>Rear up bracket</v>
      </c>
      <c r="C19" s="502">
        <f>'SU 03010'!N2</f>
        <v>1.2680301249999999</v>
      </c>
      <c r="D19" s="486">
        <f>SU_03010_q</f>
        <v>1</v>
      </c>
      <c r="E19" s="502">
        <f t="shared" si="0"/>
        <v>1.2680301249999999</v>
      </c>
      <c r="F19" s="352"/>
      <c r="G19" s="352"/>
      <c r="H19" s="352"/>
      <c r="I19" s="352"/>
      <c r="J19" s="352"/>
      <c r="K19" s="352"/>
      <c r="L19" s="352"/>
      <c r="M19" s="352"/>
      <c r="N19" s="352"/>
      <c r="O19" s="357"/>
    </row>
    <row r="20" spans="1:15" s="17" customFormat="1" x14ac:dyDescent="0.3">
      <c r="A20" s="496">
        <v>110</v>
      </c>
      <c r="B20" s="576" t="str">
        <f>'SU 03011'!B5</f>
        <v>Rear down bracket</v>
      </c>
      <c r="C20" s="502">
        <f>'SU 03011'!N2</f>
        <v>1.3787631249999999</v>
      </c>
      <c r="D20" s="486">
        <f>SU_03011_q</f>
        <v>1</v>
      </c>
      <c r="E20" s="502">
        <f t="shared" si="0"/>
        <v>1.3787631249999999</v>
      </c>
      <c r="F20" s="352"/>
      <c r="G20" s="352"/>
      <c r="H20" s="352"/>
      <c r="I20" s="352"/>
      <c r="J20" s="352"/>
      <c r="K20" s="352"/>
      <c r="L20" s="352"/>
      <c r="M20" s="352"/>
      <c r="N20" s="352"/>
      <c r="O20" s="357"/>
    </row>
    <row r="21" spans="1:15" x14ac:dyDescent="0.3">
      <c r="A21" s="164"/>
      <c r="B21" s="158"/>
      <c r="C21" s="158"/>
      <c r="D21" s="169" t="s">
        <v>18</v>
      </c>
      <c r="E21" s="170">
        <f>SUM(E10:E16)</f>
        <v>44.64759845599999</v>
      </c>
      <c r="F21" s="161"/>
      <c r="G21" s="161"/>
      <c r="H21" s="161"/>
      <c r="I21" s="161"/>
      <c r="J21" s="161"/>
      <c r="K21" s="161"/>
      <c r="L21" s="161"/>
      <c r="M21" s="161"/>
      <c r="N21" s="161"/>
      <c r="O21" s="160"/>
    </row>
    <row r="22" spans="1:15" x14ac:dyDescent="0.3">
      <c r="A22" s="164"/>
      <c r="B22" s="158"/>
      <c r="C22" s="158"/>
      <c r="D22" s="158"/>
      <c r="E22" s="158"/>
      <c r="F22" s="158"/>
      <c r="G22" s="158"/>
      <c r="H22" s="158"/>
      <c r="I22" s="158"/>
      <c r="J22" s="158"/>
      <c r="K22" s="158"/>
      <c r="L22" s="158"/>
      <c r="M22" s="158"/>
      <c r="N22" s="158"/>
      <c r="O22" s="160"/>
    </row>
    <row r="23" spans="1:15" x14ac:dyDescent="0.3">
      <c r="A23" s="156" t="s">
        <v>14</v>
      </c>
      <c r="B23" s="156" t="s">
        <v>19</v>
      </c>
      <c r="C23" s="156" t="s">
        <v>20</v>
      </c>
      <c r="D23" s="156" t="s">
        <v>21</v>
      </c>
      <c r="E23" s="156" t="s">
        <v>22</v>
      </c>
      <c r="F23" s="156" t="s">
        <v>23</v>
      </c>
      <c r="G23" s="156" t="s">
        <v>24</v>
      </c>
      <c r="H23" s="156" t="s">
        <v>25</v>
      </c>
      <c r="I23" s="156" t="s">
        <v>26</v>
      </c>
      <c r="J23" s="156" t="s">
        <v>27</v>
      </c>
      <c r="K23" s="156" t="s">
        <v>28</v>
      </c>
      <c r="L23" s="156" t="s">
        <v>29</v>
      </c>
      <c r="M23" s="156" t="s">
        <v>17</v>
      </c>
      <c r="N23" s="156" t="s">
        <v>18</v>
      </c>
      <c r="O23" s="160"/>
    </row>
    <row r="24" spans="1:15" ht="14.4" customHeight="1" x14ac:dyDescent="0.3">
      <c r="A24" s="165">
        <v>10</v>
      </c>
      <c r="B24" s="165" t="s">
        <v>131</v>
      </c>
      <c r="C24" s="165"/>
      <c r="D24" s="127">
        <f>0.03*E24^2+5</f>
        <v>6.92</v>
      </c>
      <c r="E24" s="165">
        <v>8</v>
      </c>
      <c r="F24" s="165" t="s">
        <v>30</v>
      </c>
      <c r="G24" s="165"/>
      <c r="H24" s="75"/>
      <c r="I24" s="171"/>
      <c r="J24" s="77"/>
      <c r="K24" s="75"/>
      <c r="L24" s="75"/>
      <c r="M24" s="81">
        <v>3</v>
      </c>
      <c r="N24" s="74">
        <f>M24*D24</f>
        <v>20.759999999999998</v>
      </c>
      <c r="O24" s="160"/>
    </row>
    <row r="25" spans="1:15" s="178" customFormat="1" ht="14.4" customHeight="1" x14ac:dyDescent="0.3">
      <c r="A25" s="165">
        <v>20</v>
      </c>
      <c r="B25" s="172" t="s">
        <v>136</v>
      </c>
      <c r="C25" s="173" t="s">
        <v>137</v>
      </c>
      <c r="D25" s="74"/>
      <c r="E25" s="174"/>
      <c r="F25" s="174"/>
      <c r="G25" s="174"/>
      <c r="H25" s="75"/>
      <c r="I25" s="175"/>
      <c r="J25" s="97"/>
      <c r="K25" s="78"/>
      <c r="L25" s="176"/>
      <c r="M25" s="80"/>
      <c r="N25" s="74">
        <f>M25*D25</f>
        <v>0</v>
      </c>
      <c r="O25" s="177"/>
    </row>
    <row r="26" spans="1:15" ht="14.4" customHeight="1" x14ac:dyDescent="0.3">
      <c r="A26" s="165">
        <v>30</v>
      </c>
      <c r="B26" s="172" t="s">
        <v>136</v>
      </c>
      <c r="C26" s="173" t="s">
        <v>138</v>
      </c>
      <c r="D26" s="74"/>
      <c r="E26" s="165"/>
      <c r="F26" s="165"/>
      <c r="G26" s="165"/>
      <c r="H26" s="75"/>
      <c r="I26" s="80"/>
      <c r="J26" s="81"/>
      <c r="K26" s="75"/>
      <c r="L26" s="176"/>
      <c r="M26" s="75"/>
      <c r="N26" s="74">
        <f>M26*D26</f>
        <v>0</v>
      </c>
      <c r="O26" s="160"/>
    </row>
    <row r="27" spans="1:15" x14ac:dyDescent="0.3">
      <c r="A27" s="179"/>
      <c r="B27" s="180"/>
      <c r="C27" s="180"/>
      <c r="D27" s="180"/>
      <c r="E27" s="180"/>
      <c r="F27" s="180"/>
      <c r="G27" s="180"/>
      <c r="H27" s="180"/>
      <c r="I27" s="180"/>
      <c r="J27" s="180"/>
      <c r="K27" s="180"/>
      <c r="L27" s="180"/>
      <c r="M27" s="156" t="s">
        <v>18</v>
      </c>
      <c r="N27" s="170">
        <f>SUM(N24:N26)</f>
        <v>20.759999999999998</v>
      </c>
      <c r="O27" s="160"/>
    </row>
    <row r="28" spans="1:15" x14ac:dyDescent="0.3">
      <c r="A28" s="164"/>
      <c r="B28" s="158"/>
      <c r="C28" s="158"/>
      <c r="D28" s="158"/>
      <c r="E28" s="158"/>
      <c r="F28" s="158"/>
      <c r="G28" s="158"/>
      <c r="H28" s="158"/>
      <c r="I28" s="158"/>
      <c r="J28" s="158"/>
      <c r="K28" s="158"/>
      <c r="L28" s="158"/>
      <c r="M28" s="158"/>
      <c r="N28" s="158"/>
      <c r="O28" s="160"/>
    </row>
    <row r="29" spans="1:15" s="182" customFormat="1" x14ac:dyDescent="0.3">
      <c r="A29" s="156" t="s">
        <v>14</v>
      </c>
      <c r="B29" s="156" t="s">
        <v>31</v>
      </c>
      <c r="C29" s="156" t="s">
        <v>20</v>
      </c>
      <c r="D29" s="156" t="s">
        <v>21</v>
      </c>
      <c r="E29" s="156" t="s">
        <v>32</v>
      </c>
      <c r="F29" s="156" t="s">
        <v>17</v>
      </c>
      <c r="G29" s="156" t="s">
        <v>33</v>
      </c>
      <c r="H29" s="156" t="s">
        <v>34</v>
      </c>
      <c r="I29" s="156" t="s">
        <v>18</v>
      </c>
      <c r="J29" s="180"/>
      <c r="K29" s="180"/>
      <c r="L29" s="180"/>
      <c r="M29" s="180"/>
      <c r="N29" s="180"/>
      <c r="O29" s="181"/>
    </row>
    <row r="30" spans="1:15" s="184" customFormat="1" x14ac:dyDescent="0.3">
      <c r="A30" s="226">
        <v>10</v>
      </c>
      <c r="B30" s="288" t="s">
        <v>142</v>
      </c>
      <c r="C30" s="227" t="s">
        <v>240</v>
      </c>
      <c r="D30" s="285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85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88" t="s">
        <v>139</v>
      </c>
      <c r="C31" s="227" t="s">
        <v>241</v>
      </c>
      <c r="D31" s="285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85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88" t="s">
        <v>142</v>
      </c>
      <c r="C32" s="227" t="s">
        <v>243</v>
      </c>
      <c r="D32" s="285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85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88" t="s">
        <v>225</v>
      </c>
      <c r="C33" s="232" t="s">
        <v>245</v>
      </c>
      <c r="D33" s="285">
        <v>0.06</v>
      </c>
      <c r="E33" s="288" t="s">
        <v>32</v>
      </c>
      <c r="F33" s="237">
        <v>1</v>
      </c>
      <c r="G33" s="237" t="s">
        <v>224</v>
      </c>
      <c r="H33" s="237">
        <v>2</v>
      </c>
      <c r="I33" s="285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88" t="s">
        <v>142</v>
      </c>
      <c r="C34" s="227" t="s">
        <v>246</v>
      </c>
      <c r="D34" s="285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85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88" t="s">
        <v>139</v>
      </c>
      <c r="C35" s="227" t="s">
        <v>247</v>
      </c>
      <c r="D35" s="285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85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88" t="s">
        <v>142</v>
      </c>
      <c r="C36" s="227" t="s">
        <v>226</v>
      </c>
      <c r="D36" s="285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85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88" t="s">
        <v>225</v>
      </c>
      <c r="C37" s="232" t="s">
        <v>248</v>
      </c>
      <c r="D37" s="285">
        <v>0.14000000000000001</v>
      </c>
      <c r="E37" s="288" t="s">
        <v>32</v>
      </c>
      <c r="F37" s="237">
        <v>1</v>
      </c>
      <c r="G37" s="237" t="s">
        <v>224</v>
      </c>
      <c r="H37" s="237">
        <v>2</v>
      </c>
      <c r="I37" s="285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88" t="s">
        <v>142</v>
      </c>
      <c r="C38" s="227" t="s">
        <v>242</v>
      </c>
      <c r="D38" s="285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85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88" t="s">
        <v>139</v>
      </c>
      <c r="C39" s="227" t="s">
        <v>244</v>
      </c>
      <c r="D39" s="285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85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88" t="s">
        <v>142</v>
      </c>
      <c r="C40" s="227" t="s">
        <v>226</v>
      </c>
      <c r="D40" s="285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85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x14ac:dyDescent="0.3">
      <c r="A41" s="226">
        <v>120</v>
      </c>
      <c r="B41" s="288" t="s">
        <v>225</v>
      </c>
      <c r="C41" s="232" t="s">
        <v>249</v>
      </c>
      <c r="D41" s="285">
        <v>0.22</v>
      </c>
      <c r="E41" s="288" t="s">
        <v>32</v>
      </c>
      <c r="F41" s="237">
        <v>1</v>
      </c>
      <c r="G41" s="237" t="s">
        <v>224</v>
      </c>
      <c r="H41" s="237">
        <v>2</v>
      </c>
      <c r="I41" s="285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88" t="s">
        <v>142</v>
      </c>
      <c r="C42" s="227" t="s">
        <v>227</v>
      </c>
      <c r="D42" s="285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85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85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85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88" t="s">
        <v>225</v>
      </c>
      <c r="C44" s="227" t="s">
        <v>230</v>
      </c>
      <c r="D44" s="285">
        <v>0.3</v>
      </c>
      <c r="E44" s="288" t="s">
        <v>32</v>
      </c>
      <c r="F44" s="237">
        <v>1</v>
      </c>
      <c r="G44" s="237" t="s">
        <v>228</v>
      </c>
      <c r="H44" s="237">
        <v>3</v>
      </c>
      <c r="I44" s="285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85">
        <v>0.15</v>
      </c>
      <c r="E45" s="226" t="s">
        <v>140</v>
      </c>
      <c r="F45" s="237">
        <v>22</v>
      </c>
      <c r="G45" s="237"/>
      <c r="H45" s="221"/>
      <c r="I45" s="285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88" t="s">
        <v>233</v>
      </c>
      <c r="C46" s="232" t="s">
        <v>234</v>
      </c>
      <c r="D46" s="285">
        <v>5.25</v>
      </c>
      <c r="E46" s="288" t="s">
        <v>143</v>
      </c>
      <c r="F46" s="237">
        <v>0.01</v>
      </c>
      <c r="G46" s="237"/>
      <c r="H46" s="221"/>
      <c r="I46" s="285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85">
        <v>0.14000000000000001</v>
      </c>
      <c r="E47" s="226" t="s">
        <v>32</v>
      </c>
      <c r="F47" s="237">
        <v>1</v>
      </c>
      <c r="G47" s="237"/>
      <c r="H47" s="221"/>
      <c r="I47" s="285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88" t="s">
        <v>141</v>
      </c>
      <c r="C48" s="232" t="s">
        <v>236</v>
      </c>
      <c r="D48" s="285">
        <v>0.13</v>
      </c>
      <c r="E48" s="288" t="s">
        <v>32</v>
      </c>
      <c r="F48" s="237">
        <v>4</v>
      </c>
      <c r="G48" s="237"/>
      <c r="H48" s="221"/>
      <c r="I48" s="285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88" t="s">
        <v>141</v>
      </c>
      <c r="C49" s="232" t="s">
        <v>237</v>
      </c>
      <c r="D49" s="285">
        <v>0.13</v>
      </c>
      <c r="E49" s="288" t="s">
        <v>32</v>
      </c>
      <c r="F49" s="237">
        <v>8</v>
      </c>
      <c r="G49" s="237"/>
      <c r="H49" s="221"/>
      <c r="I49" s="285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85">
        <v>0.13</v>
      </c>
      <c r="E50" s="226" t="s">
        <v>32</v>
      </c>
      <c r="F50" s="237">
        <v>2</v>
      </c>
      <c r="G50" s="237"/>
      <c r="H50" s="221"/>
      <c r="I50" s="285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88" t="s">
        <v>145</v>
      </c>
      <c r="C51" s="232" t="s">
        <v>239</v>
      </c>
      <c r="D51" s="285">
        <v>0.25</v>
      </c>
      <c r="E51" s="288" t="s">
        <v>32</v>
      </c>
      <c r="F51" s="237">
        <v>2</v>
      </c>
      <c r="G51" s="237"/>
      <c r="H51" s="221"/>
      <c r="I51" s="285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179"/>
      <c r="B52" s="180"/>
      <c r="C52" s="180"/>
      <c r="D52" s="180"/>
      <c r="E52" s="180"/>
      <c r="F52" s="180"/>
      <c r="G52" s="180"/>
      <c r="H52" s="169" t="s">
        <v>18</v>
      </c>
      <c r="I52" s="170">
        <f>SUM(I30:I51)</f>
        <v>16.033700000000003</v>
      </c>
      <c r="J52" s="158"/>
      <c r="K52" s="158"/>
      <c r="L52" s="158"/>
      <c r="M52" s="158"/>
      <c r="N52" s="158"/>
      <c r="O52" s="160"/>
    </row>
    <row r="53" spans="1:15" x14ac:dyDescent="0.3">
      <c r="A53" s="164"/>
      <c r="B53" s="158"/>
      <c r="C53" s="158"/>
      <c r="D53" s="158"/>
      <c r="E53" s="158"/>
      <c r="F53" s="158"/>
      <c r="G53" s="158"/>
      <c r="H53" s="158"/>
      <c r="I53" s="158"/>
      <c r="J53" s="158"/>
      <c r="K53" s="158"/>
      <c r="L53" s="158"/>
      <c r="M53" s="158"/>
      <c r="N53" s="158"/>
      <c r="O53" s="160"/>
    </row>
    <row r="54" spans="1:15" x14ac:dyDescent="0.3">
      <c r="A54" s="156" t="s">
        <v>14</v>
      </c>
      <c r="B54" s="156" t="s">
        <v>36</v>
      </c>
      <c r="C54" s="156" t="s">
        <v>20</v>
      </c>
      <c r="D54" s="156" t="s">
        <v>21</v>
      </c>
      <c r="E54" s="156" t="s">
        <v>22</v>
      </c>
      <c r="F54" s="156" t="s">
        <v>23</v>
      </c>
      <c r="G54" s="156" t="s">
        <v>24</v>
      </c>
      <c r="H54" s="156" t="s">
        <v>25</v>
      </c>
      <c r="I54" s="156" t="s">
        <v>17</v>
      </c>
      <c r="J54" s="156" t="s">
        <v>18</v>
      </c>
      <c r="K54" s="158"/>
      <c r="L54" s="158"/>
      <c r="M54" s="158"/>
      <c r="N54" s="158"/>
      <c r="O54" s="160"/>
    </row>
    <row r="55" spans="1:15" x14ac:dyDescent="0.3">
      <c r="A55" s="172">
        <v>10</v>
      </c>
      <c r="B55" s="172" t="s">
        <v>146</v>
      </c>
      <c r="C55" s="172" t="s">
        <v>147</v>
      </c>
      <c r="D55" s="185">
        <f>0.8/105154*E55^2*G55*SQRT(G55)+(0.003*EXP(0.319*E55))</f>
        <v>0.16167651505774214</v>
      </c>
      <c r="E55" s="172">
        <v>8</v>
      </c>
      <c r="F55" s="130" t="s">
        <v>30</v>
      </c>
      <c r="G55" s="186">
        <v>40</v>
      </c>
      <c r="H55" s="183" t="s">
        <v>30</v>
      </c>
      <c r="I55" s="131">
        <v>2</v>
      </c>
      <c r="J55" s="132">
        <f>D55*I55</f>
        <v>0.32335303011548427</v>
      </c>
      <c r="K55" s="158"/>
      <c r="L55" s="158"/>
      <c r="M55" s="158"/>
      <c r="N55" s="158"/>
      <c r="O55" s="160"/>
    </row>
    <row r="56" spans="1:15" x14ac:dyDescent="0.3">
      <c r="A56" s="172">
        <v>20</v>
      </c>
      <c r="B56" s="172" t="s">
        <v>146</v>
      </c>
      <c r="C56" s="172" t="s">
        <v>148</v>
      </c>
      <c r="D56" s="185">
        <f>0.8/105154*E56^2*G56*SQRT(G56)+(0.003*EXP(0.319*E56))</f>
        <v>0.26479118861318168</v>
      </c>
      <c r="E56" s="172">
        <v>8</v>
      </c>
      <c r="F56" s="130" t="s">
        <v>30</v>
      </c>
      <c r="G56" s="186">
        <v>60</v>
      </c>
      <c r="H56" s="183" t="s">
        <v>30</v>
      </c>
      <c r="I56" s="133">
        <v>1</v>
      </c>
      <c r="J56" s="129">
        <f>D56*I56</f>
        <v>0.26479118861318168</v>
      </c>
      <c r="K56" s="158"/>
      <c r="L56" s="158"/>
      <c r="M56" s="158"/>
      <c r="N56" s="158"/>
      <c r="O56" s="160"/>
    </row>
    <row r="57" spans="1:15" x14ac:dyDescent="0.3">
      <c r="A57" s="172">
        <v>30</v>
      </c>
      <c r="B57" s="172" t="s">
        <v>149</v>
      </c>
      <c r="C57" s="172" t="s">
        <v>150</v>
      </c>
      <c r="D57" s="187">
        <f>(0.009*EXP(0.2*E57))</f>
        <v>4.4577291819556032E-2</v>
      </c>
      <c r="E57" s="172">
        <v>8</v>
      </c>
      <c r="F57" s="130" t="s">
        <v>30</v>
      </c>
      <c r="G57" s="172"/>
      <c r="H57" s="183"/>
      <c r="I57" s="133">
        <v>3</v>
      </c>
      <c r="J57" s="129">
        <f>D57*I57</f>
        <v>0.1337318754586681</v>
      </c>
      <c r="K57" s="158"/>
      <c r="L57" s="158"/>
      <c r="M57" s="158"/>
      <c r="N57" s="158"/>
      <c r="O57" s="160"/>
    </row>
    <row r="58" spans="1:15" x14ac:dyDescent="0.3">
      <c r="A58" s="172">
        <v>40</v>
      </c>
      <c r="B58" s="172" t="s">
        <v>151</v>
      </c>
      <c r="C58" s="172" t="s">
        <v>152</v>
      </c>
      <c r="D58" s="172">
        <v>0.01</v>
      </c>
      <c r="E58" s="172">
        <v>8</v>
      </c>
      <c r="F58" s="130" t="s">
        <v>30</v>
      </c>
      <c r="G58" s="172"/>
      <c r="H58" s="183"/>
      <c r="I58" s="133">
        <v>6</v>
      </c>
      <c r="J58" s="129">
        <f>D58*I58</f>
        <v>0.06</v>
      </c>
      <c r="K58" s="188"/>
      <c r="L58" s="188"/>
      <c r="M58" s="188"/>
      <c r="N58" s="188"/>
      <c r="O58" s="160"/>
    </row>
    <row r="59" spans="1:15" x14ac:dyDescent="0.3">
      <c r="A59" s="179"/>
      <c r="B59" s="180"/>
      <c r="C59" s="180"/>
      <c r="D59" s="180"/>
      <c r="E59" s="180"/>
      <c r="F59" s="180"/>
      <c r="G59" s="180"/>
      <c r="H59" s="180"/>
      <c r="I59" s="169" t="s">
        <v>18</v>
      </c>
      <c r="J59" s="170">
        <f>SUM(J55:J58)</f>
        <v>0.78187609418733417</v>
      </c>
      <c r="K59" s="158"/>
      <c r="L59" s="158"/>
      <c r="M59" s="158"/>
      <c r="N59" s="158"/>
      <c r="O59" s="160"/>
    </row>
    <row r="60" spans="1:15" x14ac:dyDescent="0.3">
      <c r="A60" s="164"/>
      <c r="B60" s="158"/>
      <c r="C60" s="158"/>
      <c r="D60" s="158"/>
      <c r="E60" s="158"/>
      <c r="F60" s="158"/>
      <c r="G60" s="158"/>
      <c r="H60" s="158"/>
      <c r="I60" s="158"/>
      <c r="J60" s="158"/>
      <c r="K60" s="158"/>
      <c r="L60" s="158"/>
      <c r="M60" s="158"/>
      <c r="N60" s="158"/>
      <c r="O60" s="160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84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86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189"/>
      <c r="B64" s="190"/>
      <c r="C64" s="190"/>
      <c r="D64" s="190"/>
      <c r="E64" s="190"/>
      <c r="F64" s="190"/>
      <c r="G64" s="190"/>
      <c r="H64" s="190"/>
      <c r="I64" s="190"/>
      <c r="J64" s="190"/>
      <c r="K64" s="190"/>
      <c r="L64" s="190"/>
      <c r="M64" s="190"/>
      <c r="N64" s="190"/>
      <c r="O64" s="191"/>
    </row>
    <row r="65" spans="1:14" x14ac:dyDescent="0.3">
      <c r="A65" s="158"/>
      <c r="B65" s="158"/>
      <c r="C65" s="158"/>
      <c r="D65" s="158"/>
      <c r="E65" s="158"/>
      <c r="F65" s="158"/>
      <c r="G65" s="158"/>
      <c r="H65" s="158"/>
      <c r="I65" s="158"/>
      <c r="J65" s="158"/>
      <c r="K65" s="158"/>
      <c r="L65" s="158"/>
      <c r="M65" s="158"/>
      <c r="N65" s="158"/>
    </row>
  </sheetData>
  <hyperlinks>
    <hyperlink ref="B10" location="SU_03001" display="SU_03001"/>
    <hyperlink ref="B11:B13" location="BR_01001" display="BR_01001"/>
    <hyperlink ref="B14" location="SU_03005" display="SU_03005"/>
    <hyperlink ref="B16" location="SU_03007" display="SU_03007"/>
    <hyperlink ref="B11" location="SU_03002" display="SU_03002"/>
    <hyperlink ref="B12" location="SU_03003" display="SU_03003"/>
    <hyperlink ref="B13" location="SU_03004" display="SU_03004"/>
    <hyperlink ref="B15" location="SU_03006" display="SU_03006"/>
    <hyperlink ref="E2" location="SU_A0300_BOM" display="Back to BOM"/>
    <hyperlink ref="B17" location="SU_02008" display="SU_02008"/>
    <hyperlink ref="B18" location="SU_02009" display="SU_02009"/>
    <hyperlink ref="B19" location="SU_02010" display="SU_02010"/>
    <hyperlink ref="B20" location="SU_02011" display="SU_02011"/>
  </hyperlinks>
  <pageMargins left="0.7" right="0.7" top="0.75" bottom="0.75" header="0.51180555555555496" footer="0.3"/>
  <pageSetup paperSize="9" scale="37" firstPageNumber="0" fitToHeight="0" orientation="portrait" r:id="rId1"/>
  <headerFooter>
    <oddFooter>&amp;C&amp;P</oddFooter>
  </headerFooter>
  <rowBreaks count="1" manualBreakCount="1">
    <brk id="64" max="16383" man="1"/>
  </rowBreaks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7"/>
  <sheetViews>
    <sheetView zoomScale="106" zoomScaleNormal="106" workbookViewId="0">
      <selection activeCell="G2" sqref="G2"/>
    </sheetView>
  </sheetViews>
  <sheetFormatPr baseColWidth="10" defaultColWidth="9.109375" defaultRowHeight="14.4" x14ac:dyDescent="0.3"/>
  <cols>
    <col min="1" max="1" width="9.109375" style="155"/>
    <col min="2" max="2" width="17.21875" style="155" customWidth="1"/>
    <col min="3" max="3" width="29.6640625" style="155" customWidth="1"/>
    <col min="4" max="9" width="9.109375" style="155"/>
    <col min="10" max="10" width="12.5546875" style="155" customWidth="1"/>
    <col min="11" max="14" width="9.109375" style="155"/>
    <col min="15" max="15" width="3.109375" style="155" customWidth="1"/>
    <col min="16" max="17" width="9.109375" style="155"/>
    <col min="18" max="19" width="16.33203125" style="155" bestFit="1" customWidth="1"/>
    <col min="20" max="16384" width="9.10937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SU_03001_m+SU_03001_p</f>
        <v>16.4854905344</v>
      </c>
      <c r="O2" s="160"/>
    </row>
    <row r="3" spans="1:19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89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9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192" t="s">
        <v>15</v>
      </c>
      <c r="B5" s="163" t="s">
        <v>199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16.4854905344</v>
      </c>
      <c r="O5" s="160"/>
    </row>
    <row r="6" spans="1:19" x14ac:dyDescent="0.3">
      <c r="A6" s="192" t="s">
        <v>7</v>
      </c>
      <c r="B6" s="195" t="s">
        <v>203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9" s="178" customFormat="1" x14ac:dyDescent="0.3">
      <c r="A11" s="85">
        <v>10</v>
      </c>
      <c r="B11" s="26" t="s">
        <v>132</v>
      </c>
      <c r="C11" s="20" t="s">
        <v>38</v>
      </c>
      <c r="D11" s="289">
        <f>4.2</f>
        <v>4.2</v>
      </c>
      <c r="E11" s="203"/>
      <c r="F11" s="203"/>
      <c r="G11" s="203"/>
      <c r="H11" s="19"/>
      <c r="I11" s="204" t="s">
        <v>133</v>
      </c>
      <c r="J11" s="253">
        <f>63*62/1000000</f>
        <v>3.9060000000000002E-3</v>
      </c>
      <c r="K11" s="590">
        <v>5.6000000000000001E-2</v>
      </c>
      <c r="L11" s="176">
        <v>2712</v>
      </c>
      <c r="M11" s="23">
        <v>1</v>
      </c>
      <c r="N11" s="30">
        <f>D11*M11*L11*K11*J11</f>
        <v>2.4914905344</v>
      </c>
      <c r="O11" s="177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2.4914905344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S13" s="207"/>
    </row>
    <row r="14" spans="1:19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  <c r="R14" s="207"/>
    </row>
    <row r="15" spans="1:19" s="25" customFormat="1" ht="28.8" customHeight="1" x14ac:dyDescent="0.3">
      <c r="A15" s="254">
        <v>10</v>
      </c>
      <c r="B15" s="255" t="s">
        <v>39</v>
      </c>
      <c r="C15" s="254"/>
      <c r="D15" s="256">
        <v>1.3</v>
      </c>
      <c r="E15" s="255" t="s">
        <v>32</v>
      </c>
      <c r="F15" s="261">
        <v>1</v>
      </c>
      <c r="G15" s="31"/>
      <c r="H15" s="31"/>
      <c r="I15" s="32">
        <f t="shared" ref="I15:I25" si="0">IF(H15="",D15*F15,D15*F15*H15)</f>
        <v>1.3</v>
      </c>
      <c r="J15" s="58"/>
      <c r="K15" s="58"/>
      <c r="L15" s="58"/>
      <c r="M15" s="58"/>
      <c r="N15" s="58"/>
      <c r="O15" s="68"/>
    </row>
    <row r="16" spans="1:19" customFormat="1" ht="25.8" customHeight="1" x14ac:dyDescent="0.3">
      <c r="A16" s="257">
        <v>20</v>
      </c>
      <c r="B16" s="255" t="s">
        <v>159</v>
      </c>
      <c r="C16" s="258" t="s">
        <v>317</v>
      </c>
      <c r="D16" s="259">
        <v>0.04</v>
      </c>
      <c r="E16" s="257" t="s">
        <v>161</v>
      </c>
      <c r="F16" s="260">
        <v>174</v>
      </c>
      <c r="G16" s="27"/>
      <c r="H16" s="26"/>
      <c r="I16" s="32">
        <f t="shared" si="0"/>
        <v>6.96</v>
      </c>
      <c r="J16" s="56"/>
      <c r="K16" s="56"/>
      <c r="L16" s="56"/>
      <c r="M16" s="56"/>
      <c r="N16" s="56"/>
      <c r="O16" s="62"/>
      <c r="R16" s="135"/>
    </row>
    <row r="17" spans="1:18" s="17" customFormat="1" ht="15" customHeight="1" x14ac:dyDescent="0.3">
      <c r="A17" s="254">
        <v>30</v>
      </c>
      <c r="B17" s="255" t="s">
        <v>158</v>
      </c>
      <c r="C17" s="254"/>
      <c r="D17" s="256">
        <v>0.65</v>
      </c>
      <c r="E17" s="255" t="s">
        <v>32</v>
      </c>
      <c r="F17" s="261">
        <v>1</v>
      </c>
      <c r="G17" s="26"/>
      <c r="H17" s="26"/>
      <c r="I17" s="32">
        <f t="shared" si="0"/>
        <v>0.65</v>
      </c>
      <c r="J17" s="57"/>
      <c r="K17" s="57"/>
      <c r="L17" s="57"/>
      <c r="M17" s="57"/>
      <c r="N17" s="57"/>
      <c r="O17" s="65"/>
      <c r="R17" s="136"/>
    </row>
    <row r="18" spans="1:18" customFormat="1" ht="18.600000000000001" customHeight="1" x14ac:dyDescent="0.3">
      <c r="A18" s="257">
        <v>40</v>
      </c>
      <c r="B18" s="255" t="s">
        <v>159</v>
      </c>
      <c r="C18" s="258" t="s">
        <v>257</v>
      </c>
      <c r="D18" s="259">
        <v>0.04</v>
      </c>
      <c r="E18" s="257" t="s">
        <v>161</v>
      </c>
      <c r="F18" s="260">
        <v>2.2999999999999998</v>
      </c>
      <c r="G18" s="27"/>
      <c r="H18" s="26"/>
      <c r="I18" s="32">
        <f t="shared" si="0"/>
        <v>9.1999999999999998E-2</v>
      </c>
      <c r="J18" s="56"/>
      <c r="K18" s="56"/>
      <c r="L18" s="56"/>
      <c r="M18" s="56"/>
      <c r="N18" s="56"/>
      <c r="O18" s="62"/>
      <c r="R18" s="135"/>
    </row>
    <row r="19" spans="1:18" customFormat="1" ht="28.2" customHeight="1" x14ac:dyDescent="0.3">
      <c r="A19" s="254">
        <v>50</v>
      </c>
      <c r="B19" s="255" t="s">
        <v>158</v>
      </c>
      <c r="C19" s="254"/>
      <c r="D19" s="256">
        <v>0.65</v>
      </c>
      <c r="E19" s="255" t="s">
        <v>32</v>
      </c>
      <c r="F19" s="261">
        <v>1</v>
      </c>
      <c r="G19" s="26"/>
      <c r="H19" s="26"/>
      <c r="I19" s="32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8" customFormat="1" ht="15" customHeight="1" x14ac:dyDescent="0.3">
      <c r="A20" s="257">
        <v>60</v>
      </c>
      <c r="B20" s="255" t="s">
        <v>159</v>
      </c>
      <c r="C20" s="258" t="s">
        <v>258</v>
      </c>
      <c r="D20" s="259">
        <v>0.04</v>
      </c>
      <c r="E20" s="257" t="s">
        <v>161</v>
      </c>
      <c r="F20" s="260">
        <v>2.2999999999999998</v>
      </c>
      <c r="G20" s="26"/>
      <c r="H20" s="26"/>
      <c r="I20" s="32">
        <f t="shared" si="0"/>
        <v>9.1999999999999998E-2</v>
      </c>
      <c r="J20" s="56"/>
      <c r="K20" s="56"/>
      <c r="L20" s="56"/>
      <c r="M20" s="56"/>
      <c r="N20" s="56"/>
      <c r="O20" s="62"/>
      <c r="R20" s="135"/>
    </row>
    <row r="21" spans="1:18" customFormat="1" ht="14.4" customHeight="1" x14ac:dyDescent="0.3">
      <c r="A21" s="254">
        <v>70</v>
      </c>
      <c r="B21" s="255" t="s">
        <v>158</v>
      </c>
      <c r="C21" s="254"/>
      <c r="D21" s="256">
        <v>0.65</v>
      </c>
      <c r="E21" s="255" t="s">
        <v>32</v>
      </c>
      <c r="F21" s="261">
        <v>1</v>
      </c>
      <c r="G21" s="26"/>
      <c r="H21" s="26"/>
      <c r="I21" s="32">
        <f t="shared" si="0"/>
        <v>0.65</v>
      </c>
      <c r="J21" s="56"/>
      <c r="K21" s="56"/>
      <c r="L21" s="56"/>
      <c r="M21" s="56"/>
      <c r="N21" s="56"/>
      <c r="O21" s="62"/>
      <c r="R21" s="135"/>
    </row>
    <row r="22" spans="1:18" customFormat="1" ht="29.4" customHeight="1" x14ac:dyDescent="0.3">
      <c r="A22" s="257">
        <v>80</v>
      </c>
      <c r="B22" s="255" t="s">
        <v>159</v>
      </c>
      <c r="C22" s="258" t="s">
        <v>259</v>
      </c>
      <c r="D22" s="259">
        <v>0.04</v>
      </c>
      <c r="E22" s="257" t="s">
        <v>161</v>
      </c>
      <c r="F22" s="260">
        <v>8</v>
      </c>
      <c r="G22" s="26"/>
      <c r="H22" s="26"/>
      <c r="I22" s="32">
        <f t="shared" si="0"/>
        <v>0.32</v>
      </c>
      <c r="J22" s="56"/>
      <c r="K22" s="56"/>
      <c r="L22" s="56"/>
      <c r="M22" s="56"/>
      <c r="N22" s="56"/>
      <c r="O22" s="62"/>
      <c r="R22" s="135"/>
    </row>
    <row r="23" spans="1:18" customFormat="1" ht="28.8" customHeight="1" x14ac:dyDescent="0.3">
      <c r="A23" s="254">
        <v>90</v>
      </c>
      <c r="B23" s="255" t="s">
        <v>158</v>
      </c>
      <c r="C23" s="254"/>
      <c r="D23" s="256">
        <v>0.65</v>
      </c>
      <c r="E23" s="255" t="s">
        <v>32</v>
      </c>
      <c r="F23" s="261">
        <v>1</v>
      </c>
      <c r="G23" s="26"/>
      <c r="H23" s="26"/>
      <c r="I23" s="32">
        <f t="shared" si="0"/>
        <v>0.65</v>
      </c>
      <c r="J23" s="56"/>
      <c r="K23" s="56"/>
      <c r="L23" s="56"/>
      <c r="M23" s="56"/>
      <c r="N23" s="56"/>
      <c r="O23" s="62"/>
      <c r="R23" s="135"/>
    </row>
    <row r="24" spans="1:18" customFormat="1" ht="18.600000000000001" customHeight="1" x14ac:dyDescent="0.3">
      <c r="A24" s="257">
        <v>100</v>
      </c>
      <c r="B24" s="255" t="s">
        <v>159</v>
      </c>
      <c r="C24" s="258" t="s">
        <v>260</v>
      </c>
      <c r="D24" s="259">
        <v>0.04</v>
      </c>
      <c r="E24" s="257" t="s">
        <v>161</v>
      </c>
      <c r="F24" s="260">
        <v>57</v>
      </c>
      <c r="G24" s="26"/>
      <c r="H24" s="26"/>
      <c r="I24" s="32">
        <f t="shared" si="0"/>
        <v>2.2800000000000002</v>
      </c>
      <c r="J24" s="56"/>
      <c r="K24" s="56"/>
      <c r="L24" s="56"/>
      <c r="M24" s="56"/>
      <c r="N24" s="56"/>
      <c r="O24" s="62"/>
      <c r="R24" s="135"/>
    </row>
    <row r="25" spans="1:18" customFormat="1" ht="26.4" customHeight="1" x14ac:dyDescent="0.3">
      <c r="A25" s="254">
        <v>110</v>
      </c>
      <c r="B25" s="255" t="s">
        <v>261</v>
      </c>
      <c r="C25" s="258" t="s">
        <v>262</v>
      </c>
      <c r="D25" s="259">
        <v>0.35</v>
      </c>
      <c r="E25" s="257"/>
      <c r="F25" s="260">
        <v>1</v>
      </c>
      <c r="G25" s="26"/>
      <c r="H25" s="26"/>
      <c r="I25" s="32">
        <f t="shared" si="0"/>
        <v>0.35</v>
      </c>
      <c r="J25" s="56"/>
      <c r="K25" s="56"/>
      <c r="L25" s="56"/>
      <c r="M25" s="56"/>
      <c r="N25" s="56"/>
      <c r="O25" s="62"/>
    </row>
    <row r="26" spans="1:18" x14ac:dyDescent="0.3">
      <c r="A26" s="179"/>
      <c r="B26" s="180"/>
      <c r="C26" s="180"/>
      <c r="D26" s="180"/>
      <c r="E26" s="180"/>
      <c r="F26" s="180"/>
      <c r="G26" s="180"/>
      <c r="H26" s="214" t="s">
        <v>18</v>
      </c>
      <c r="I26" s="206">
        <f>SUM(I15:I25)</f>
        <v>13.994000000000002</v>
      </c>
      <c r="J26" s="180"/>
      <c r="K26" s="180"/>
      <c r="L26" s="180"/>
      <c r="M26" s="180"/>
      <c r="N26" s="180"/>
      <c r="O26" s="160"/>
    </row>
    <row r="27" spans="1:18" ht="15" thickBot="1" x14ac:dyDescent="0.35">
      <c r="A27" s="189"/>
      <c r="B27" s="190"/>
      <c r="C27" s="190"/>
      <c r="D27" s="190"/>
      <c r="E27" s="190"/>
      <c r="F27" s="190"/>
      <c r="G27" s="190"/>
      <c r="H27" s="190"/>
      <c r="I27" s="190"/>
      <c r="J27" s="190"/>
      <c r="K27" s="190"/>
      <c r="L27" s="190"/>
      <c r="M27" s="190"/>
      <c r="N27" s="190"/>
      <c r="O27" s="191"/>
    </row>
  </sheetData>
  <hyperlinks>
    <hyperlink ref="B4" location="SU_A0300" display="Upper Back A-arm"/>
    <hyperlink ref="E3" location="dSU_03001" display="Drawing"/>
    <hyperlink ref="G2" location="SU_A0300_BOM" display="Back to BOM"/>
  </hyperlinks>
  <pageMargins left="0.78749999999999998" right="0.78749999999999998" top="1.05277777777778" bottom="1.05277777777778" header="0.78749999999999998" footer="0.78749999999999998"/>
  <pageSetup paperSize="9" scale="52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7" max="16383" man="1"/>
    <brk id="61" max="16383" man="1"/>
  </rowBreaks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workbookViewId="0">
      <selection activeCell="B1" sqref="B1"/>
    </sheetView>
  </sheetViews>
  <sheetFormatPr baseColWidth="10" defaultColWidth="11.44140625" defaultRowHeight="14.4" x14ac:dyDescent="0.3"/>
  <cols>
    <col min="1" max="1" width="14" style="155" customWidth="1"/>
    <col min="2" max="16384" width="11.44140625" style="155"/>
  </cols>
  <sheetData>
    <row r="1" spans="1:2" x14ac:dyDescent="0.3">
      <c r="A1" s="155" t="s">
        <v>170</v>
      </c>
      <c r="B1" s="89" t="str">
        <f>SU_03001</f>
        <v>SU 03001</v>
      </c>
    </row>
  </sheetData>
  <hyperlinks>
    <hyperlink ref="B1" location="SU_03001" display="SU_03001"/>
  </hyperlinks>
  <pageMargins left="0.7" right="0.7" top="0.75" bottom="0.75" header="0.3" footer="0.3"/>
  <pageSetup paperSize="9" scale="68" fitToHeight="0" orientation="portrait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S22"/>
  <sheetViews>
    <sheetView zoomScale="106" zoomScaleNormal="106" workbookViewId="0">
      <selection activeCell="G2" sqref="G2"/>
    </sheetView>
  </sheetViews>
  <sheetFormatPr baseColWidth="10" defaultColWidth="11.44140625" defaultRowHeight="14.4" x14ac:dyDescent="0.3"/>
  <cols>
    <col min="1" max="1" width="11.44140625" style="155"/>
    <col min="2" max="2" width="23.109375" style="155" customWidth="1"/>
    <col min="3" max="6" width="11.44140625" style="155"/>
    <col min="7" max="7" width="18" style="155" customWidth="1"/>
    <col min="8" max="8" width="11.44140625" style="155"/>
    <col min="9" max="9" width="21.44140625" style="155" customWidth="1"/>
    <col min="10" max="17" width="11.44140625" style="155"/>
    <col min="18" max="18" width="13.88671875" style="155" bestFit="1" customWidth="1"/>
    <col min="19" max="16384" width="11.4414062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N12+I21</f>
        <v>3.3353805440000004</v>
      </c>
      <c r="O2" s="160"/>
    </row>
    <row r="3" spans="1:19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89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9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215" t="s">
        <v>15</v>
      </c>
      <c r="B5" s="216" t="s">
        <v>157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6.6707610880000008</v>
      </c>
      <c r="O5" s="160"/>
    </row>
    <row r="6" spans="1:19" x14ac:dyDescent="0.3">
      <c r="A6" s="192" t="s">
        <v>7</v>
      </c>
      <c r="B6" s="195" t="s">
        <v>202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customFormat="1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customFormat="1" x14ac:dyDescent="0.3">
      <c r="A11" s="85">
        <v>10</v>
      </c>
      <c r="B11" s="26" t="s">
        <v>132</v>
      </c>
      <c r="C11" s="20" t="s">
        <v>38</v>
      </c>
      <c r="D11" s="289">
        <f>4.2</f>
        <v>4.2</v>
      </c>
      <c r="E11" s="263">
        <f>J11*K11*L11</f>
        <v>0.20437632</v>
      </c>
      <c r="F11" s="20" t="s">
        <v>162</v>
      </c>
      <c r="G11" s="20"/>
      <c r="H11" s="290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289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0.85838054400000008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R13" s="207">
        <f>J11*K11/4</f>
        <v>1.8839999999999999E-5</v>
      </c>
      <c r="S13" s="207"/>
    </row>
    <row r="14" spans="1:19" customFormat="1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customFormat="1" ht="26.4" customHeight="1" x14ac:dyDescent="0.3">
      <c r="A15" s="338">
        <v>10</v>
      </c>
      <c r="B15" s="339" t="s">
        <v>39</v>
      </c>
      <c r="C15" s="338"/>
      <c r="D15" s="340">
        <v>1.3</v>
      </c>
      <c r="E15" s="339" t="s">
        <v>32</v>
      </c>
      <c r="F15" s="338">
        <v>1</v>
      </c>
      <c r="G15" s="338" t="s">
        <v>295</v>
      </c>
      <c r="H15" s="338">
        <v>0.5</v>
      </c>
      <c r="I15" s="341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customFormat="1" ht="28.2" customHeight="1" x14ac:dyDescent="0.3">
      <c r="A16" s="342">
        <v>20</v>
      </c>
      <c r="B16" s="339" t="s">
        <v>159</v>
      </c>
      <c r="C16" s="343" t="s">
        <v>263</v>
      </c>
      <c r="D16" s="344">
        <v>0.04</v>
      </c>
      <c r="E16" s="342" t="s">
        <v>161</v>
      </c>
      <c r="F16" s="345">
        <v>17</v>
      </c>
      <c r="G16" s="339" t="s">
        <v>264</v>
      </c>
      <c r="H16" s="237">
        <v>1</v>
      </c>
      <c r="I16" s="346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customFormat="1" ht="25.8" customHeight="1" x14ac:dyDescent="0.3">
      <c r="A17" s="338">
        <v>30</v>
      </c>
      <c r="B17" s="339" t="s">
        <v>158</v>
      </c>
      <c r="C17" s="338"/>
      <c r="D17" s="340">
        <v>0.65</v>
      </c>
      <c r="E17" s="339" t="s">
        <v>32</v>
      </c>
      <c r="F17" s="338">
        <v>1</v>
      </c>
      <c r="G17" s="338" t="s">
        <v>295</v>
      </c>
      <c r="H17" s="338">
        <v>0.5</v>
      </c>
      <c r="I17" s="341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customFormat="1" ht="15.6" customHeight="1" x14ac:dyDescent="0.3">
      <c r="A18" s="342">
        <v>40</v>
      </c>
      <c r="B18" s="339" t="s">
        <v>159</v>
      </c>
      <c r="C18" s="343" t="s">
        <v>265</v>
      </c>
      <c r="D18" s="344">
        <v>0.04</v>
      </c>
      <c r="E18" s="342" t="s">
        <v>161</v>
      </c>
      <c r="F18" s="345">
        <v>2</v>
      </c>
      <c r="G18" s="339" t="s">
        <v>264</v>
      </c>
      <c r="H18" s="237">
        <v>1</v>
      </c>
      <c r="I18" s="346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customFormat="1" x14ac:dyDescent="0.3">
      <c r="A19" s="338">
        <v>50</v>
      </c>
      <c r="B19" s="339" t="s">
        <v>158</v>
      </c>
      <c r="C19" s="338"/>
      <c r="D19" s="340">
        <v>0.65</v>
      </c>
      <c r="E19" s="339" t="s">
        <v>32</v>
      </c>
      <c r="F19" s="338">
        <v>1</v>
      </c>
      <c r="G19" s="338"/>
      <c r="H19" s="338"/>
      <c r="I19" s="341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customFormat="1" ht="14.4" customHeight="1" x14ac:dyDescent="0.3">
      <c r="A20" s="342">
        <v>60</v>
      </c>
      <c r="B20" s="339" t="s">
        <v>159</v>
      </c>
      <c r="C20" s="343" t="s">
        <v>266</v>
      </c>
      <c r="D20" s="344">
        <v>0.04</v>
      </c>
      <c r="E20" s="342" t="s">
        <v>161</v>
      </c>
      <c r="F20" s="345">
        <v>2.2999999999999998</v>
      </c>
      <c r="G20" s="339" t="s">
        <v>264</v>
      </c>
      <c r="H20" s="237">
        <v>1</v>
      </c>
      <c r="I20" s="346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179"/>
      <c r="B21" s="180"/>
      <c r="C21" s="180"/>
      <c r="D21" s="180"/>
      <c r="E21" s="180"/>
      <c r="F21" s="180"/>
      <c r="G21" s="180"/>
      <c r="H21" s="214" t="s">
        <v>18</v>
      </c>
      <c r="I21" s="206">
        <f>SUM(I15:I20)</f>
        <v>2.4770000000000003</v>
      </c>
      <c r="J21" s="180"/>
      <c r="K21" s="180"/>
      <c r="L21" s="180"/>
      <c r="M21" s="180"/>
      <c r="N21" s="180"/>
      <c r="O21" s="160"/>
    </row>
    <row r="22" spans="1:19" ht="15" thickBot="1" x14ac:dyDescent="0.35">
      <c r="A22" s="189"/>
      <c r="B22" s="190"/>
      <c r="C22" s="190"/>
      <c r="D22" s="190"/>
      <c r="E22" s="190"/>
      <c r="F22" s="190"/>
      <c r="G22" s="190"/>
      <c r="H22" s="190"/>
      <c r="I22" s="190"/>
      <c r="J22" s="190"/>
      <c r="K22" s="190"/>
      <c r="L22" s="190"/>
      <c r="M22" s="190"/>
      <c r="N22" s="190"/>
      <c r="O22" s="191"/>
    </row>
  </sheetData>
  <hyperlinks>
    <hyperlink ref="B4" location="SU_A0300" display="Upper Back A-arm"/>
    <hyperlink ref="E3" location="dSU_03002" display="Drawing"/>
    <hyperlink ref="G2" location="SU_A03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6"/>
  <sheetViews>
    <sheetView zoomScale="106" zoomScaleNormal="106" workbookViewId="0">
      <selection activeCell="B2" sqref="B2"/>
    </sheetView>
  </sheetViews>
  <sheetFormatPr baseColWidth="10" defaultColWidth="11.44140625" defaultRowHeight="14.4" x14ac:dyDescent="0.3"/>
  <cols>
    <col min="1" max="1" width="18.88671875" style="155" customWidth="1"/>
    <col min="2" max="16384" width="11.44140625" style="155"/>
  </cols>
  <sheetData>
    <row r="1" spans="1:2" x14ac:dyDescent="0.3">
      <c r="A1" s="155" t="s">
        <v>170</v>
      </c>
      <c r="B1" s="89" t="str">
        <f>SU_03002</f>
        <v>SU 03002</v>
      </c>
    </row>
    <row r="4" spans="1:2" x14ac:dyDescent="0.3">
      <c r="B4" s="155" t="s">
        <v>176</v>
      </c>
    </row>
    <row r="5" spans="1:2" x14ac:dyDescent="0.3">
      <c r="B5" s="155" t="s">
        <v>177</v>
      </c>
    </row>
    <row r="6" spans="1:2" x14ac:dyDescent="0.3">
      <c r="B6" s="219"/>
    </row>
  </sheetData>
  <hyperlinks>
    <hyperlink ref="B1" location="SU_03002" display="SU_03002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170</v>
      </c>
      <c r="B1" s="89" t="str">
        <f>SU_01001</f>
        <v>SU_01001</v>
      </c>
    </row>
  </sheetData>
  <hyperlinks>
    <hyperlink ref="B1" location="SU_01001" display="SU_01001"/>
  </hyperlinks>
  <pageMargins left="0.7" right="0.7" top="0.75" bottom="0.75" header="0.3" footer="0.3"/>
  <pageSetup paperSize="9" fitToHeight="0" orientation="landscape" r:id="rId1"/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90" zoomScaleNormal="90" workbookViewId="0">
      <selection activeCell="G2" sqref="G2"/>
    </sheetView>
  </sheetViews>
  <sheetFormatPr baseColWidth="10" defaultColWidth="11.44140625" defaultRowHeight="14.4" x14ac:dyDescent="0.3"/>
  <cols>
    <col min="1" max="1" width="11.44140625" style="155"/>
    <col min="2" max="2" width="20.44140625" style="155" customWidth="1"/>
    <col min="3" max="3" width="33" style="155" customWidth="1"/>
    <col min="4" max="4" width="11.44140625" style="155"/>
    <col min="5" max="5" width="17" style="155" customWidth="1"/>
    <col min="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10.876934879999999</v>
      </c>
      <c r="O2" s="160"/>
    </row>
    <row r="3" spans="1:15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5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192" t="s">
        <v>15</v>
      </c>
      <c r="B5" s="73" t="s">
        <v>200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10.876934879999999</v>
      </c>
      <c r="O5" s="160"/>
    </row>
    <row r="6" spans="1:15" x14ac:dyDescent="0.3">
      <c r="A6" s="192" t="s">
        <v>7</v>
      </c>
      <c r="B6" s="195" t="s">
        <v>204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9.6683865599999983</v>
      </c>
      <c r="E11" s="21">
        <f>J11*K11</f>
        <v>3.0596159999999994E-5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78">
        <v>0.34799999999999998</v>
      </c>
      <c r="L11" s="79">
        <v>1580</v>
      </c>
      <c r="M11" s="147">
        <v>1</v>
      </c>
      <c r="N11" s="30">
        <f>D11*M11</f>
        <v>9.6683865599999983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9.6683865599999983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ht="29.4" customHeight="1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25">
        <f>J11*K11*L11</f>
        <v>4.8341932799999994E-2</v>
      </c>
      <c r="G15" s="221"/>
      <c r="H15" s="221"/>
      <c r="I15" s="224">
        <f>IF(H15="",D15*F15,D15*F15*H15)</f>
        <v>1.2085483199999998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1.2085483199999998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B4" location="SU_A0300" display="Upper Back A-arm"/>
    <hyperlink ref="G2" location="SU_A0300_BOM" display="Back to BOM"/>
  </hyperlinks>
  <pageMargins left="0.7" right="0.7" top="0.75" bottom="0.75" header="0.3" footer="0.3"/>
  <pageSetup paperSize="9" orientation="portrait"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90" zoomScaleNormal="90" workbookViewId="0">
      <selection activeCell="L16" sqref="L16"/>
    </sheetView>
  </sheetViews>
  <sheetFormatPr baseColWidth="10" defaultColWidth="11.44140625" defaultRowHeight="14.4" x14ac:dyDescent="0.3"/>
  <cols>
    <col min="1" max="1" width="11.44140625" style="155"/>
    <col min="2" max="2" width="33.88671875" style="155" customWidth="1"/>
    <col min="3" max="3" width="46.6640625" style="155" customWidth="1"/>
    <col min="4" max="4" width="11.44140625" style="155"/>
    <col min="5" max="5" width="18.33203125" style="155" customWidth="1"/>
    <col min="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4.3445228399999989</v>
      </c>
      <c r="O2" s="160"/>
    </row>
    <row r="3" spans="1:15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5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192" t="s">
        <v>15</v>
      </c>
      <c r="B5" s="73" t="s">
        <v>201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4.3445228399999989</v>
      </c>
      <c r="O5" s="160"/>
    </row>
    <row r="6" spans="1:15" x14ac:dyDescent="0.3">
      <c r="A6" s="192" t="s">
        <v>7</v>
      </c>
      <c r="B6" s="195" t="s">
        <v>208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3.8617980799999994</v>
      </c>
      <c r="E11" s="253">
        <f>J11*K11</f>
        <v>1.2220879999999999E-5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78">
        <v>0.13900000000000001</v>
      </c>
      <c r="L11" s="79">
        <v>1580</v>
      </c>
      <c r="M11" s="147">
        <v>1</v>
      </c>
      <c r="N11" s="30">
        <f>D11*M11</f>
        <v>3.8617980799999994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3.8617980799999994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25">
        <f>J11*K11*L11</f>
        <v>1.9308990399999997E-2</v>
      </c>
      <c r="G15" s="221"/>
      <c r="H15" s="221"/>
      <c r="I15" s="224">
        <f>IF(H15="",D15*F15,D15*F15*H15)</f>
        <v>0.48272475999999992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0.48272475999999992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B4" location="SU_A0300" display="Upper Back A-arm"/>
    <hyperlink ref="G2" location="SU_A0300_BOM" display="Back to BOM"/>
  </hyperlinks>
  <pageMargins left="0.7" right="0.7" top="0.75" bottom="0.75" header="0.3" footer="0.3"/>
  <pageSetup paperSize="9" orientation="portrait"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22"/>
  <sheetViews>
    <sheetView zoomScale="90" zoomScaleNormal="90" workbookViewId="0">
      <selection activeCell="B4" sqref="B4"/>
    </sheetView>
  </sheetViews>
  <sheetFormatPr baseColWidth="10" defaultColWidth="11.44140625" defaultRowHeight="14.4" x14ac:dyDescent="0.3"/>
  <cols>
    <col min="1" max="1" width="11.44140625" style="155"/>
    <col min="2" max="2" width="25.109375" style="155" customWidth="1"/>
    <col min="3" max="3" width="30.5546875" style="155" customWidth="1"/>
    <col min="4" max="8" width="11.44140625" style="155"/>
    <col min="9" max="9" width="14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591"/>
      <c r="B1" s="592"/>
      <c r="C1" s="592"/>
      <c r="D1" s="592"/>
      <c r="E1" s="592"/>
      <c r="F1" s="592"/>
      <c r="G1" s="592"/>
      <c r="H1" s="592"/>
      <c r="I1" s="592"/>
      <c r="J1" s="592"/>
      <c r="K1" s="592"/>
      <c r="L1" s="592"/>
      <c r="M1" s="592"/>
      <c r="N1" s="592"/>
      <c r="O1" s="593"/>
    </row>
    <row r="2" spans="1:17" x14ac:dyDescent="0.3">
      <c r="A2" s="594" t="s">
        <v>0</v>
      </c>
      <c r="B2" s="595" t="s">
        <v>37</v>
      </c>
      <c r="C2" s="595"/>
      <c r="D2" s="595"/>
      <c r="E2" s="595"/>
      <c r="F2" s="595"/>
      <c r="G2" s="596" t="s">
        <v>126</v>
      </c>
      <c r="H2" s="595"/>
      <c r="I2" s="595"/>
      <c r="J2" s="597" t="s">
        <v>1</v>
      </c>
      <c r="K2" s="598">
        <v>81</v>
      </c>
      <c r="L2" s="595"/>
      <c r="M2" s="594" t="s">
        <v>16</v>
      </c>
      <c r="N2" s="599">
        <f>N12+I21</f>
        <v>2.6577472800000002</v>
      </c>
      <c r="O2" s="600"/>
    </row>
    <row r="3" spans="1:17" x14ac:dyDescent="0.3">
      <c r="A3" s="594" t="s">
        <v>3</v>
      </c>
      <c r="B3" s="595" t="str">
        <f>'SU A0300'!B3</f>
        <v>Suspension &amp; Shocks</v>
      </c>
      <c r="C3" s="595"/>
      <c r="D3" s="594" t="s">
        <v>6</v>
      </c>
      <c r="E3" s="601" t="s">
        <v>86</v>
      </c>
      <c r="F3" s="595"/>
      <c r="G3" s="595"/>
      <c r="H3" s="595"/>
      <c r="I3" s="595"/>
      <c r="J3" s="595"/>
      <c r="K3" s="595"/>
      <c r="L3" s="595"/>
      <c r="M3" s="594" t="s">
        <v>4</v>
      </c>
      <c r="N3" s="602">
        <v>2</v>
      </c>
      <c r="O3" s="600"/>
    </row>
    <row r="4" spans="1:17" x14ac:dyDescent="0.3">
      <c r="A4" s="594" t="s">
        <v>5</v>
      </c>
      <c r="B4" s="596" t="s">
        <v>197</v>
      </c>
      <c r="C4" s="595"/>
      <c r="D4" s="594" t="s">
        <v>8</v>
      </c>
      <c r="E4" s="595"/>
      <c r="F4" s="595"/>
      <c r="G4" s="595"/>
      <c r="H4" s="595"/>
      <c r="I4" s="595"/>
      <c r="J4" s="603" t="s">
        <v>6</v>
      </c>
      <c r="K4" s="595"/>
      <c r="L4" s="595"/>
      <c r="M4" s="595"/>
      <c r="N4" s="595"/>
      <c r="O4" s="600"/>
    </row>
    <row r="5" spans="1:17" x14ac:dyDescent="0.3">
      <c r="A5" s="594" t="s">
        <v>15</v>
      </c>
      <c r="B5" s="604" t="s">
        <v>193</v>
      </c>
      <c r="C5" s="595"/>
      <c r="D5" s="594" t="s">
        <v>12</v>
      </c>
      <c r="E5" s="595"/>
      <c r="F5" s="595"/>
      <c r="G5" s="595"/>
      <c r="H5" s="595"/>
      <c r="I5" s="595"/>
      <c r="J5" s="603" t="s">
        <v>8</v>
      </c>
      <c r="K5" s="595"/>
      <c r="L5" s="595"/>
      <c r="M5" s="594" t="s">
        <v>9</v>
      </c>
      <c r="N5" s="599">
        <f>N3*N2</f>
        <v>5.3154945600000003</v>
      </c>
      <c r="O5" s="600"/>
    </row>
    <row r="6" spans="1:17" x14ac:dyDescent="0.3">
      <c r="A6" s="594" t="s">
        <v>7</v>
      </c>
      <c r="B6" s="605" t="s">
        <v>207</v>
      </c>
      <c r="C6" s="595"/>
      <c r="D6" s="595"/>
      <c r="E6" s="595"/>
      <c r="F6" s="595"/>
      <c r="G6" s="595"/>
      <c r="H6" s="595"/>
      <c r="I6" s="595"/>
      <c r="J6" s="603" t="s">
        <v>12</v>
      </c>
      <c r="K6" s="595"/>
      <c r="L6" s="595"/>
      <c r="M6" s="595"/>
      <c r="N6" s="595"/>
      <c r="O6" s="600"/>
    </row>
    <row r="7" spans="1:17" x14ac:dyDescent="0.3">
      <c r="A7" s="594" t="s">
        <v>10</v>
      </c>
      <c r="B7" s="595"/>
      <c r="C7" s="595"/>
      <c r="D7" s="595"/>
      <c r="E7" s="595"/>
      <c r="F7" s="595"/>
      <c r="G7" s="595"/>
      <c r="H7" s="595"/>
      <c r="I7" s="595"/>
      <c r="J7" s="595"/>
      <c r="K7" s="595"/>
      <c r="L7" s="595"/>
      <c r="M7" s="595"/>
      <c r="N7" s="595"/>
      <c r="O7" s="600"/>
    </row>
    <row r="8" spans="1:17" x14ac:dyDescent="0.3">
      <c r="A8" s="594" t="s">
        <v>13</v>
      </c>
      <c r="B8" s="595"/>
      <c r="C8" s="595"/>
      <c r="D8" s="595"/>
      <c r="E8" s="595"/>
      <c r="F8" s="595"/>
      <c r="G8" s="595"/>
      <c r="H8" s="595"/>
      <c r="I8" s="595"/>
      <c r="J8" s="595"/>
      <c r="K8" s="595"/>
      <c r="L8" s="595"/>
      <c r="M8" s="595"/>
      <c r="N8" s="595"/>
      <c r="O8" s="600"/>
    </row>
    <row r="9" spans="1:17" x14ac:dyDescent="0.3">
      <c r="A9" s="606"/>
      <c r="B9" s="607"/>
      <c r="C9" s="607"/>
      <c r="D9" s="607"/>
      <c r="E9" s="607"/>
      <c r="F9" s="595"/>
      <c r="G9" s="595"/>
      <c r="H9" s="595"/>
      <c r="I9" s="595"/>
      <c r="J9" s="595"/>
      <c r="K9" s="595"/>
      <c r="L9" s="595"/>
      <c r="M9" s="595"/>
      <c r="N9" s="595"/>
      <c r="O9" s="600"/>
    </row>
    <row r="10" spans="1:17" x14ac:dyDescent="0.3">
      <c r="A10" s="608" t="s">
        <v>14</v>
      </c>
      <c r="B10" s="609" t="s">
        <v>19</v>
      </c>
      <c r="C10" s="609" t="s">
        <v>20</v>
      </c>
      <c r="D10" s="609" t="s">
        <v>21</v>
      </c>
      <c r="E10" s="609" t="s">
        <v>22</v>
      </c>
      <c r="F10" s="610" t="s">
        <v>23</v>
      </c>
      <c r="G10" s="610" t="s">
        <v>24</v>
      </c>
      <c r="H10" s="610" t="s">
        <v>25</v>
      </c>
      <c r="I10" s="610" t="s">
        <v>26</v>
      </c>
      <c r="J10" s="610" t="s">
        <v>27</v>
      </c>
      <c r="K10" s="610" t="s">
        <v>28</v>
      </c>
      <c r="L10" s="610" t="s">
        <v>29</v>
      </c>
      <c r="M10" s="610" t="s">
        <v>17</v>
      </c>
      <c r="N10" s="610" t="s">
        <v>18</v>
      </c>
      <c r="O10" s="600"/>
    </row>
    <row r="11" spans="1:17" x14ac:dyDescent="0.3">
      <c r="A11" s="611">
        <v>10</v>
      </c>
      <c r="B11" s="612" t="s">
        <v>166</v>
      </c>
      <c r="C11" s="613" t="s">
        <v>38</v>
      </c>
      <c r="D11" s="614">
        <v>2.25</v>
      </c>
      <c r="E11" s="615">
        <f>J11*K11*L11/1000000000</f>
        <v>7.8876800000000011E-3</v>
      </c>
      <c r="F11" s="613" t="s">
        <v>162</v>
      </c>
      <c r="G11" s="613"/>
      <c r="H11" s="616"/>
      <c r="I11" s="617" t="s">
        <v>165</v>
      </c>
      <c r="J11" s="618">
        <f>3.14*8*8</f>
        <v>200.96</v>
      </c>
      <c r="K11" s="619">
        <v>5</v>
      </c>
      <c r="L11" s="620">
        <v>7850</v>
      </c>
      <c r="M11" s="621">
        <v>1</v>
      </c>
      <c r="N11" s="614">
        <f>D11*E11</f>
        <v>1.7747280000000004E-2</v>
      </c>
      <c r="O11" s="622"/>
      <c r="Q11" s="207"/>
    </row>
    <row r="12" spans="1:17" x14ac:dyDescent="0.3">
      <c r="A12" s="623"/>
      <c r="B12" s="624"/>
      <c r="C12" s="624"/>
      <c r="D12" s="624"/>
      <c r="E12" s="624"/>
      <c r="F12" s="624"/>
      <c r="G12" s="624"/>
      <c r="H12" s="624"/>
      <c r="I12" s="624"/>
      <c r="J12" s="624"/>
      <c r="K12" s="624"/>
      <c r="L12" s="624"/>
      <c r="M12" s="625" t="s">
        <v>18</v>
      </c>
      <c r="N12" s="626">
        <f>SUM(N11:N11)</f>
        <v>1.7747280000000004E-2</v>
      </c>
      <c r="O12" s="600"/>
    </row>
    <row r="13" spans="1:17" x14ac:dyDescent="0.3">
      <c r="A13" s="627"/>
      <c r="B13" s="595"/>
      <c r="C13" s="595"/>
      <c r="D13" s="595"/>
      <c r="E13" s="595"/>
      <c r="F13" s="595"/>
      <c r="G13" s="595"/>
      <c r="H13" s="595"/>
      <c r="I13" s="595"/>
      <c r="J13" s="595"/>
      <c r="K13" s="595"/>
      <c r="L13" s="595"/>
      <c r="M13" s="595"/>
      <c r="N13" s="595"/>
      <c r="O13" s="600"/>
    </row>
    <row r="14" spans="1:17" x14ac:dyDescent="0.3">
      <c r="A14" s="628" t="s">
        <v>14</v>
      </c>
      <c r="B14" s="610" t="s">
        <v>31</v>
      </c>
      <c r="C14" s="610" t="s">
        <v>20</v>
      </c>
      <c r="D14" s="610" t="s">
        <v>21</v>
      </c>
      <c r="E14" s="610" t="s">
        <v>32</v>
      </c>
      <c r="F14" s="610" t="s">
        <v>17</v>
      </c>
      <c r="G14" s="610" t="s">
        <v>33</v>
      </c>
      <c r="H14" s="610" t="s">
        <v>34</v>
      </c>
      <c r="I14" s="610" t="s">
        <v>18</v>
      </c>
      <c r="J14" s="624"/>
      <c r="K14" s="624"/>
      <c r="L14" s="624"/>
      <c r="M14" s="624"/>
      <c r="N14" s="624"/>
      <c r="O14" s="600"/>
    </row>
    <row r="15" spans="1:17" ht="28.8" x14ac:dyDescent="0.3">
      <c r="A15" s="629">
        <v>10</v>
      </c>
      <c r="B15" s="630" t="s">
        <v>39</v>
      </c>
      <c r="C15" s="631" t="s">
        <v>134</v>
      </c>
      <c r="D15" s="632">
        <v>1.3</v>
      </c>
      <c r="E15" s="630" t="s">
        <v>35</v>
      </c>
      <c r="F15" s="631">
        <v>1</v>
      </c>
      <c r="G15" s="631"/>
      <c r="H15" s="631"/>
      <c r="I15" s="632">
        <f t="shared" ref="I15:I20" si="0">IF(H15="",D15*F15,D15*F15*H15)</f>
        <v>1.3</v>
      </c>
      <c r="J15" s="633"/>
      <c r="K15" s="633"/>
      <c r="L15" s="633"/>
      <c r="M15" s="633"/>
      <c r="N15" s="633"/>
      <c r="O15" s="634"/>
    </row>
    <row r="16" spans="1:17" x14ac:dyDescent="0.3">
      <c r="A16" s="635">
        <v>20</v>
      </c>
      <c r="B16" s="636" t="s">
        <v>159</v>
      </c>
      <c r="C16" s="637" t="s">
        <v>167</v>
      </c>
      <c r="D16" s="614">
        <v>0.04</v>
      </c>
      <c r="E16" s="630" t="s">
        <v>161</v>
      </c>
      <c r="F16" s="638">
        <v>0.4</v>
      </c>
      <c r="G16" s="630"/>
      <c r="H16" s="637"/>
      <c r="I16" s="614">
        <f t="shared" si="0"/>
        <v>1.6E-2</v>
      </c>
      <c r="J16" s="595"/>
      <c r="K16" s="595"/>
      <c r="L16" s="595"/>
      <c r="M16" s="595"/>
      <c r="N16" s="595"/>
      <c r="O16" s="600"/>
    </row>
    <row r="17" spans="1:15" x14ac:dyDescent="0.3">
      <c r="A17" s="635">
        <v>30</v>
      </c>
      <c r="B17" s="636" t="s">
        <v>158</v>
      </c>
      <c r="C17" s="637" t="s">
        <v>160</v>
      </c>
      <c r="D17" s="614">
        <v>0.65</v>
      </c>
      <c r="E17" s="630" t="s">
        <v>35</v>
      </c>
      <c r="F17" s="637">
        <v>1</v>
      </c>
      <c r="G17" s="637"/>
      <c r="H17" s="637"/>
      <c r="I17" s="614">
        <f t="shared" si="0"/>
        <v>0.65</v>
      </c>
      <c r="J17" s="595"/>
      <c r="K17" s="595"/>
      <c r="L17" s="595"/>
      <c r="M17" s="595"/>
      <c r="N17" s="595"/>
      <c r="O17" s="600"/>
    </row>
    <row r="18" spans="1:15" x14ac:dyDescent="0.3">
      <c r="A18" s="635">
        <v>40</v>
      </c>
      <c r="B18" s="636" t="s">
        <v>159</v>
      </c>
      <c r="C18" s="637" t="s">
        <v>169</v>
      </c>
      <c r="D18" s="614">
        <v>0.04</v>
      </c>
      <c r="E18" s="630" t="s">
        <v>161</v>
      </c>
      <c r="F18" s="638">
        <v>0.56000000000000005</v>
      </c>
      <c r="G18" s="630"/>
      <c r="H18" s="637"/>
      <c r="I18" s="614">
        <f t="shared" si="0"/>
        <v>2.2400000000000003E-2</v>
      </c>
      <c r="J18" s="595"/>
      <c r="K18" s="595"/>
      <c r="L18" s="595"/>
      <c r="M18" s="595"/>
      <c r="N18" s="595"/>
      <c r="O18" s="600"/>
    </row>
    <row r="19" spans="1:15" x14ac:dyDescent="0.3">
      <c r="A19" s="635">
        <v>50</v>
      </c>
      <c r="B19" s="636" t="s">
        <v>158</v>
      </c>
      <c r="C19" s="637" t="s">
        <v>160</v>
      </c>
      <c r="D19" s="614">
        <v>0.65</v>
      </c>
      <c r="E19" s="630" t="s">
        <v>35</v>
      </c>
      <c r="F19" s="637">
        <v>1</v>
      </c>
      <c r="G19" s="637"/>
      <c r="H19" s="637"/>
      <c r="I19" s="614">
        <f t="shared" si="0"/>
        <v>0.65</v>
      </c>
      <c r="J19" s="595"/>
      <c r="K19" s="595"/>
      <c r="L19" s="595"/>
      <c r="M19" s="595"/>
      <c r="N19" s="595"/>
      <c r="O19" s="600"/>
    </row>
    <row r="20" spans="1:15" x14ac:dyDescent="0.3">
      <c r="A20" s="635">
        <v>60</v>
      </c>
      <c r="B20" s="636" t="s">
        <v>159</v>
      </c>
      <c r="C20" s="637" t="s">
        <v>168</v>
      </c>
      <c r="D20" s="614">
        <v>0.04</v>
      </c>
      <c r="E20" s="630" t="s">
        <v>161</v>
      </c>
      <c r="F20" s="637">
        <v>0.04</v>
      </c>
      <c r="G20" s="637"/>
      <c r="H20" s="637"/>
      <c r="I20" s="614">
        <f t="shared" si="0"/>
        <v>1.6000000000000001E-3</v>
      </c>
      <c r="J20" s="595"/>
      <c r="K20" s="595"/>
      <c r="L20" s="595"/>
      <c r="M20" s="595"/>
      <c r="N20" s="595"/>
      <c r="O20" s="600"/>
    </row>
    <row r="21" spans="1:15" x14ac:dyDescent="0.3">
      <c r="A21" s="623"/>
      <c r="B21" s="624"/>
      <c r="C21" s="624"/>
      <c r="D21" s="624"/>
      <c r="E21" s="624"/>
      <c r="F21" s="624"/>
      <c r="G21" s="624"/>
      <c r="H21" s="639" t="s">
        <v>18</v>
      </c>
      <c r="I21" s="626">
        <f>SUM(I15:I20)</f>
        <v>2.64</v>
      </c>
      <c r="J21" s="624"/>
      <c r="K21" s="624"/>
      <c r="L21" s="624"/>
      <c r="M21" s="624"/>
      <c r="N21" s="624"/>
      <c r="O21" s="600"/>
    </row>
    <row r="22" spans="1:15" ht="15" thickBot="1" x14ac:dyDescent="0.35">
      <c r="A22" s="640"/>
      <c r="B22" s="641"/>
      <c r="C22" s="641"/>
      <c r="D22" s="641"/>
      <c r="E22" s="641"/>
      <c r="F22" s="641"/>
      <c r="G22" s="641"/>
      <c r="H22" s="641"/>
      <c r="I22" s="641"/>
      <c r="J22" s="641"/>
      <c r="K22" s="641"/>
      <c r="L22" s="641"/>
      <c r="M22" s="641"/>
      <c r="N22" s="641"/>
      <c r="O22" s="642"/>
    </row>
  </sheetData>
  <hyperlinks>
    <hyperlink ref="B4" location="SU_A0300" display="Upper Back A-arm"/>
    <hyperlink ref="E3" location="dSU_03005" display="Drawing"/>
    <hyperlink ref="G2" location="SU_A0300_BOM" display="Back to BOM"/>
  </hyperlinks>
  <pageMargins left="0.7" right="0.7" top="0.75" bottom="0.75" header="0.3" footer="0.3"/>
  <pageSetup paperSize="9" orientation="portrait"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/>
  </sheetViews>
  <sheetFormatPr baseColWidth="10" defaultColWidth="11.44140625" defaultRowHeight="14.4" x14ac:dyDescent="0.3"/>
  <cols>
    <col min="1" max="1" width="14.21875" style="155" customWidth="1"/>
    <col min="2" max="16384" width="11.44140625" style="155"/>
  </cols>
  <sheetData>
    <row r="1" spans="1:2" x14ac:dyDescent="0.3">
      <c r="A1" s="155" t="s">
        <v>170</v>
      </c>
      <c r="B1" s="220" t="str">
        <f>'SU 03005'!B6</f>
        <v>SU 03005</v>
      </c>
    </row>
  </sheetData>
  <hyperlinks>
    <hyperlink ref="B1" location="SU_03005" display="SU_03005"/>
  </hyperlinks>
  <pageMargins left="0.7" right="0.7" top="0.75" bottom="0.75" header="0.3" footer="0.3"/>
  <pageSetup paperSize="9" orientation="portrait" r:id="rId1"/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P20"/>
  <sheetViews>
    <sheetView workbookViewId="0">
      <selection activeCell="G2" sqref="G2"/>
    </sheetView>
  </sheetViews>
  <sheetFormatPr baseColWidth="10" defaultRowHeight="14.4" x14ac:dyDescent="0.3"/>
  <cols>
    <col min="2" max="2" width="19.33203125" customWidth="1"/>
    <col min="3" max="3" width="19.21875" customWidth="1"/>
  </cols>
  <sheetData>
    <row r="1" spans="1:16" x14ac:dyDescent="0.3">
      <c r="A1" s="591"/>
      <c r="B1" s="592"/>
      <c r="C1" s="592"/>
      <c r="D1" s="592"/>
      <c r="E1" s="592"/>
      <c r="F1" s="592"/>
      <c r="G1" s="592"/>
      <c r="H1" s="592"/>
      <c r="I1" s="592"/>
      <c r="J1" s="592"/>
      <c r="K1" s="592"/>
      <c r="L1" s="592"/>
      <c r="M1" s="592"/>
      <c r="N1" s="592"/>
      <c r="O1" s="593"/>
      <c r="P1" s="155"/>
    </row>
    <row r="2" spans="1:16" x14ac:dyDescent="0.3">
      <c r="A2" s="594" t="s">
        <v>0</v>
      </c>
      <c r="B2" s="595" t="s">
        <v>37</v>
      </c>
      <c r="C2" s="595"/>
      <c r="D2" s="595"/>
      <c r="E2" s="595"/>
      <c r="F2" s="595"/>
      <c r="G2" s="596" t="s">
        <v>126</v>
      </c>
      <c r="H2" s="595"/>
      <c r="I2" s="595"/>
      <c r="J2" s="597" t="s">
        <v>1</v>
      </c>
      <c r="K2" s="598">
        <v>81</v>
      </c>
      <c r="L2" s="595"/>
      <c r="M2" s="594" t="s">
        <v>16</v>
      </c>
      <c r="N2" s="599">
        <f>N12+I18</f>
        <v>1.1551782399999999</v>
      </c>
      <c r="O2" s="600"/>
      <c r="P2" s="155"/>
    </row>
    <row r="3" spans="1:16" x14ac:dyDescent="0.3">
      <c r="A3" s="594" t="s">
        <v>3</v>
      </c>
      <c r="B3" s="595" t="str">
        <f>'SU A0300'!B3</f>
        <v>Suspension &amp; Shocks</v>
      </c>
      <c r="C3" s="595"/>
      <c r="D3" s="594" t="s">
        <v>6</v>
      </c>
      <c r="E3" s="601" t="s">
        <v>86</v>
      </c>
      <c r="F3" s="595"/>
      <c r="G3" s="595"/>
      <c r="H3" s="595"/>
      <c r="I3" s="595"/>
      <c r="J3" s="595"/>
      <c r="K3" s="595"/>
      <c r="L3" s="595"/>
      <c r="M3" s="594" t="s">
        <v>4</v>
      </c>
      <c r="N3" s="602">
        <v>4</v>
      </c>
      <c r="O3" s="600"/>
      <c r="P3" s="155"/>
    </row>
    <row r="4" spans="1:16" x14ac:dyDescent="0.3">
      <c r="A4" s="594" t="s">
        <v>5</v>
      </c>
      <c r="B4" s="596" t="s">
        <v>197</v>
      </c>
      <c r="C4" s="595"/>
      <c r="D4" s="594" t="s">
        <v>8</v>
      </c>
      <c r="E4" s="595"/>
      <c r="F4" s="595"/>
      <c r="G4" s="595"/>
      <c r="H4" s="595"/>
      <c r="I4" s="595"/>
      <c r="J4" s="603" t="s">
        <v>6</v>
      </c>
      <c r="K4" s="595"/>
      <c r="L4" s="595"/>
      <c r="M4" s="595"/>
      <c r="N4" s="595"/>
      <c r="O4" s="600"/>
      <c r="P4" s="155"/>
    </row>
    <row r="5" spans="1:16" x14ac:dyDescent="0.3">
      <c r="A5" s="594" t="s">
        <v>15</v>
      </c>
      <c r="B5" s="604" t="s">
        <v>192</v>
      </c>
      <c r="C5" s="595"/>
      <c r="D5" s="594" t="s">
        <v>12</v>
      </c>
      <c r="E5" s="595"/>
      <c r="F5" s="595"/>
      <c r="G5" s="595"/>
      <c r="H5" s="595"/>
      <c r="I5" s="595"/>
      <c r="J5" s="603" t="s">
        <v>8</v>
      </c>
      <c r="K5" s="595"/>
      <c r="L5" s="595"/>
      <c r="M5" s="594" t="s">
        <v>9</v>
      </c>
      <c r="N5" s="599">
        <f>N3*N2</f>
        <v>4.6207129599999996</v>
      </c>
      <c r="O5" s="600"/>
      <c r="P5" s="155"/>
    </row>
    <row r="6" spans="1:16" x14ac:dyDescent="0.3">
      <c r="A6" s="594" t="s">
        <v>7</v>
      </c>
      <c r="B6" s="605" t="s">
        <v>206</v>
      </c>
      <c r="C6" s="595"/>
      <c r="D6" s="595"/>
      <c r="E6" s="595"/>
      <c r="F6" s="595"/>
      <c r="G6" s="595"/>
      <c r="H6" s="595"/>
      <c r="I6" s="595"/>
      <c r="J6" s="603" t="s">
        <v>12</v>
      </c>
      <c r="K6" s="595"/>
      <c r="L6" s="595"/>
      <c r="M6" s="595"/>
      <c r="N6" s="595"/>
      <c r="O6" s="600"/>
      <c r="P6" s="155"/>
    </row>
    <row r="7" spans="1:16" x14ac:dyDescent="0.3">
      <c r="A7" s="594" t="s">
        <v>10</v>
      </c>
      <c r="B7" s="595"/>
      <c r="C7" s="595"/>
      <c r="D7" s="595"/>
      <c r="E7" s="595"/>
      <c r="F7" s="595"/>
      <c r="G7" s="595"/>
      <c r="H7" s="595"/>
      <c r="I7" s="595"/>
      <c r="J7" s="595"/>
      <c r="K7" s="595"/>
      <c r="L7" s="595"/>
      <c r="M7" s="595"/>
      <c r="N7" s="595"/>
      <c r="O7" s="600"/>
      <c r="P7" s="155"/>
    </row>
    <row r="8" spans="1:16" x14ac:dyDescent="0.3">
      <c r="A8" s="594" t="s">
        <v>13</v>
      </c>
      <c r="B8" s="595"/>
      <c r="C8" s="595"/>
      <c r="D8" s="595"/>
      <c r="E8" s="595"/>
      <c r="F8" s="595"/>
      <c r="G8" s="595"/>
      <c r="H8" s="595"/>
      <c r="I8" s="595"/>
      <c r="J8" s="595"/>
      <c r="K8" s="595"/>
      <c r="L8" s="595"/>
      <c r="M8" s="595"/>
      <c r="N8" s="595"/>
      <c r="O8" s="600"/>
      <c r="P8" s="155"/>
    </row>
    <row r="9" spans="1:16" x14ac:dyDescent="0.3">
      <c r="A9" s="606"/>
      <c r="B9" s="607"/>
      <c r="C9" s="607"/>
      <c r="D9" s="607"/>
      <c r="E9" s="607"/>
      <c r="F9" s="595"/>
      <c r="G9" s="595"/>
      <c r="H9" s="595"/>
      <c r="I9" s="595"/>
      <c r="J9" s="595"/>
      <c r="K9" s="595"/>
      <c r="L9" s="595"/>
      <c r="M9" s="595"/>
      <c r="N9" s="595"/>
      <c r="O9" s="600"/>
      <c r="P9" s="155"/>
    </row>
    <row r="10" spans="1:16" x14ac:dyDescent="0.3">
      <c r="A10" s="608" t="s">
        <v>14</v>
      </c>
      <c r="B10" s="609" t="s">
        <v>19</v>
      </c>
      <c r="C10" s="609" t="s">
        <v>20</v>
      </c>
      <c r="D10" s="609" t="s">
        <v>21</v>
      </c>
      <c r="E10" s="609" t="s">
        <v>22</v>
      </c>
      <c r="F10" s="610" t="s">
        <v>23</v>
      </c>
      <c r="G10" s="610" t="s">
        <v>24</v>
      </c>
      <c r="H10" s="610" t="s">
        <v>25</v>
      </c>
      <c r="I10" s="610" t="s">
        <v>26</v>
      </c>
      <c r="J10" s="610" t="s">
        <v>27</v>
      </c>
      <c r="K10" s="610" t="s">
        <v>28</v>
      </c>
      <c r="L10" s="610" t="s">
        <v>29</v>
      </c>
      <c r="M10" s="610" t="s">
        <v>17</v>
      </c>
      <c r="N10" s="610" t="s">
        <v>18</v>
      </c>
      <c r="O10" s="600"/>
      <c r="P10" s="155"/>
    </row>
    <row r="11" spans="1:16" x14ac:dyDescent="0.3">
      <c r="A11" s="322">
        <v>10</v>
      </c>
      <c r="B11" s="523" t="s">
        <v>278</v>
      </c>
      <c r="C11" s="573"/>
      <c r="D11" s="574">
        <v>2.25</v>
      </c>
      <c r="E11" s="374">
        <f>J11*K11*L11</f>
        <v>6.3101440000000009E-2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401">
        <v>0.04</v>
      </c>
      <c r="L11" s="377">
        <v>7850</v>
      </c>
      <c r="M11" s="378">
        <v>1</v>
      </c>
      <c r="N11" s="379">
        <f>D11*E11*M11</f>
        <v>0.14197824000000003</v>
      </c>
      <c r="O11" s="380"/>
    </row>
    <row r="12" spans="1:16" x14ac:dyDescent="0.3">
      <c r="A12" s="623"/>
      <c r="B12" s="624"/>
      <c r="C12" s="624"/>
      <c r="D12" s="624"/>
      <c r="E12" s="624"/>
      <c r="F12" s="624"/>
      <c r="G12" s="624"/>
      <c r="H12" s="624"/>
      <c r="I12" s="624"/>
      <c r="J12" s="624"/>
      <c r="K12" s="624"/>
      <c r="L12" s="624"/>
      <c r="M12" s="625" t="s">
        <v>18</v>
      </c>
      <c r="N12" s="626">
        <f>SUM(N11:N11)</f>
        <v>0.14197824000000003</v>
      </c>
      <c r="O12" s="600"/>
      <c r="P12" s="155"/>
    </row>
    <row r="13" spans="1:16" x14ac:dyDescent="0.3">
      <c r="A13" s="627"/>
      <c r="B13" s="595"/>
      <c r="C13" s="595"/>
      <c r="D13" s="595"/>
      <c r="E13" s="595"/>
      <c r="F13" s="595"/>
      <c r="G13" s="595"/>
      <c r="H13" s="595"/>
      <c r="I13" s="595"/>
      <c r="J13" s="595"/>
      <c r="K13" s="595"/>
      <c r="L13" s="595"/>
      <c r="M13" s="595"/>
      <c r="N13" s="595"/>
      <c r="O13" s="600"/>
      <c r="P13" s="155"/>
    </row>
    <row r="14" spans="1:16" x14ac:dyDescent="0.3">
      <c r="A14" s="628" t="s">
        <v>14</v>
      </c>
      <c r="B14" s="610" t="s">
        <v>31</v>
      </c>
      <c r="C14" s="610" t="s">
        <v>20</v>
      </c>
      <c r="D14" s="610" t="s">
        <v>21</v>
      </c>
      <c r="E14" s="610" t="s">
        <v>32</v>
      </c>
      <c r="F14" s="610" t="s">
        <v>17</v>
      </c>
      <c r="G14" s="610" t="s">
        <v>33</v>
      </c>
      <c r="H14" s="610" t="s">
        <v>34</v>
      </c>
      <c r="I14" s="610" t="s">
        <v>18</v>
      </c>
      <c r="J14" s="624"/>
      <c r="K14" s="624"/>
      <c r="L14" s="624"/>
      <c r="M14" s="624"/>
      <c r="N14" s="624"/>
      <c r="O14" s="600"/>
      <c r="P14" s="155"/>
    </row>
    <row r="15" spans="1:16" ht="29.4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6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0.11</v>
      </c>
      <c r="G16" s="397" t="s">
        <v>268</v>
      </c>
      <c r="H16" s="397">
        <v>3</v>
      </c>
      <c r="I16" s="346">
        <f>IF(H16="",D16*F16,D16*F16*H16)</f>
        <v>1.32E-2</v>
      </c>
      <c r="J16" s="352"/>
      <c r="K16" s="352"/>
      <c r="L16" s="352"/>
      <c r="M16" s="352"/>
      <c r="N16" s="352"/>
      <c r="O16" s="357"/>
    </row>
    <row r="17" spans="1:16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6" x14ac:dyDescent="0.3">
      <c r="A18" s="623"/>
      <c r="B18" s="624"/>
      <c r="C18" s="624"/>
      <c r="D18" s="624"/>
      <c r="E18" s="624"/>
      <c r="F18" s="624"/>
      <c r="G18" s="624"/>
      <c r="H18" s="639" t="s">
        <v>18</v>
      </c>
      <c r="I18" s="626">
        <f>SUM(I15:I17)</f>
        <v>1.0131999999999999</v>
      </c>
      <c r="J18" s="624"/>
      <c r="K18" s="624"/>
      <c r="L18" s="624"/>
      <c r="M18" s="624"/>
      <c r="N18" s="624"/>
      <c r="O18" s="600"/>
      <c r="P18" s="155"/>
    </row>
    <row r="19" spans="1:16" ht="15" thickBot="1" x14ac:dyDescent="0.35">
      <c r="A19" s="640"/>
      <c r="B19" s="641"/>
      <c r="C19" s="641"/>
      <c r="D19" s="641"/>
      <c r="E19" s="641"/>
      <c r="F19" s="641"/>
      <c r="G19" s="641"/>
      <c r="H19" s="641"/>
      <c r="I19" s="641"/>
      <c r="J19" s="641"/>
      <c r="K19" s="641"/>
      <c r="L19" s="641"/>
      <c r="M19" s="641"/>
      <c r="N19" s="641"/>
      <c r="O19" s="642"/>
      <c r="P19" s="155"/>
    </row>
    <row r="20" spans="1:16" x14ac:dyDescent="0.3">
      <c r="A20" s="155"/>
      <c r="B20" s="155"/>
      <c r="C20" s="155"/>
      <c r="D20" s="155"/>
      <c r="E20" s="155"/>
      <c r="F20" s="155"/>
      <c r="G20" s="155"/>
      <c r="H20" s="155"/>
      <c r="I20" s="155"/>
      <c r="J20" s="155"/>
      <c r="K20" s="155"/>
      <c r="L20" s="155"/>
      <c r="M20" s="155"/>
      <c r="N20" s="155"/>
      <c r="O20" s="155"/>
      <c r="P20" s="155"/>
    </row>
  </sheetData>
  <hyperlinks>
    <hyperlink ref="G2" location="SU_A0300_BOM" display="Back to BOM"/>
    <hyperlink ref="E3" location="dSU_03006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3.44140625" customWidth="1"/>
  </cols>
  <sheetData>
    <row r="1" spans="1:2" x14ac:dyDescent="0.3">
      <c r="A1" s="155" t="s">
        <v>170</v>
      </c>
      <c r="B1" s="220" t="s">
        <v>209</v>
      </c>
    </row>
  </sheetData>
  <hyperlinks>
    <hyperlink ref="B1" location="SU_03006" display="=SU_03006"/>
  </hyperlinks>
  <pageMargins left="0.7" right="0.7" top="0.75" bottom="0.75" header="0.3" footer="0.3"/>
  <pageSetup paperSize="9" orientation="portrait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7"/>
  <sheetViews>
    <sheetView zoomScale="90" zoomScaleNormal="90" workbookViewId="0">
      <selection activeCell="C33" sqref="C33"/>
    </sheetView>
  </sheetViews>
  <sheetFormatPr baseColWidth="10" defaultColWidth="11.44140625" defaultRowHeight="14.4" x14ac:dyDescent="0.3"/>
  <cols>
    <col min="1" max="1" width="11.44140625" style="155"/>
    <col min="2" max="2" width="28.6640625" style="155" customWidth="1"/>
    <col min="3" max="3" width="24.33203125" style="155" customWidth="1"/>
    <col min="4" max="8" width="11.44140625" style="155"/>
    <col min="9" max="9" width="15.33203125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7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0.47719727680000001</v>
      </c>
      <c r="O2" s="160"/>
    </row>
    <row r="3" spans="1:17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89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7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7" x14ac:dyDescent="0.3">
      <c r="A5" s="192" t="s">
        <v>15</v>
      </c>
      <c r="B5" s="165" t="s">
        <v>135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0.95439455360000003</v>
      </c>
      <c r="O5" s="160"/>
    </row>
    <row r="6" spans="1:17" x14ac:dyDescent="0.3">
      <c r="A6" s="192" t="s">
        <v>7</v>
      </c>
      <c r="B6" s="195" t="s">
        <v>205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7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7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7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7" customFormat="1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s="184" customFormat="1" ht="17.399999999999999" customHeight="1" x14ac:dyDescent="0.3">
      <c r="A11" s="403">
        <v>10</v>
      </c>
      <c r="B11" s="404" t="s">
        <v>273</v>
      </c>
      <c r="C11" s="403" t="s">
        <v>274</v>
      </c>
      <c r="D11" s="405">
        <v>4.2</v>
      </c>
      <c r="E11" s="406">
        <v>12</v>
      </c>
      <c r="F11" s="403" t="s">
        <v>30</v>
      </c>
      <c r="G11" s="403"/>
      <c r="H11" s="407"/>
      <c r="I11" s="408" t="s">
        <v>275</v>
      </c>
      <c r="J11" s="409">
        <f>3.14*0.006^2</f>
        <v>1.1304E-4</v>
      </c>
      <c r="K11" s="410">
        <v>0.06</v>
      </c>
      <c r="L11" s="415">
        <v>2710</v>
      </c>
      <c r="M11" s="411">
        <v>1</v>
      </c>
      <c r="N11" s="346">
        <f>IF(J11="",D11*M11,D11*J11*K11*L11*M11)</f>
        <v>7.7197276800000006E-2</v>
      </c>
      <c r="O11" s="416"/>
    </row>
    <row r="12" spans="1:17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7.7197276800000006E-2</v>
      </c>
      <c r="O12" s="160"/>
    </row>
    <row r="13" spans="1:17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Q13" s="207"/>
    </row>
    <row r="14" spans="1:17" customFormat="1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7" customFormat="1" x14ac:dyDescent="0.3">
      <c r="A15" s="342">
        <v>10</v>
      </c>
      <c r="B15" s="339" t="s">
        <v>272</v>
      </c>
      <c r="C15" s="412"/>
      <c r="D15" s="413">
        <v>0.4</v>
      </c>
      <c r="E15" s="342" t="s">
        <v>40</v>
      </c>
      <c r="F15" s="342">
        <v>1</v>
      </c>
      <c r="G15" s="342"/>
      <c r="H15" s="342"/>
      <c r="I15" s="414">
        <f>IF(H15="",D15*F15,D15*F15*H15)</f>
        <v>0.4</v>
      </c>
      <c r="J15" s="388"/>
      <c r="K15" s="388"/>
      <c r="L15" s="388"/>
      <c r="M15" s="388"/>
      <c r="N15" s="388"/>
      <c r="O15" s="389"/>
    </row>
    <row r="16" spans="1:17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0.4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E3" location="dSU_03007" display="Drawing"/>
    <hyperlink ref="G2" location="SU_A0300_BOM" display="Back to BOM"/>
    <hyperlink ref="B4" location="SU_A0300" display="Upper Back A-arm"/>
  </hyperlinks>
  <pageMargins left="0.7" right="0.7" top="0.75" bottom="0.75" header="0.3" footer="0.3"/>
  <pageSetup paperSize="9" orientation="portrait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>
      <selection activeCell="B1" sqref="B1"/>
    </sheetView>
  </sheetViews>
  <sheetFormatPr baseColWidth="10" defaultColWidth="11.44140625" defaultRowHeight="14.4" x14ac:dyDescent="0.3"/>
  <cols>
    <col min="1" max="1" width="20" style="155" customWidth="1"/>
    <col min="2" max="16384" width="11.44140625" style="155"/>
  </cols>
  <sheetData>
    <row r="1" spans="1:2" x14ac:dyDescent="0.3">
      <c r="A1" s="155" t="s">
        <v>170</v>
      </c>
      <c r="B1" s="220" t="str">
        <f>'SU 03007'!B6</f>
        <v>SU 03007</v>
      </c>
    </row>
  </sheetData>
  <hyperlinks>
    <hyperlink ref="B1" location="SU_03007" display="SU_03007"/>
  </hyperlinks>
  <pageMargins left="0.7" right="0.7" top="0.75" bottom="0.75" header="0.3" footer="0.3"/>
  <pageSetup paperSize="9" orientation="portrait" r:id="rId1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19.5546875" customWidth="1"/>
    <col min="3" max="3" width="20" customWidth="1"/>
    <col min="6" max="6" width="10.77734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1.4969516249999999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197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289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1.4969516249999999</v>
      </c>
      <c r="O5" s="436"/>
    </row>
    <row r="6" spans="1:15" x14ac:dyDescent="0.3">
      <c r="A6" s="433" t="s">
        <v>7</v>
      </c>
      <c r="B6" s="439" t="s">
        <v>329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43.2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7.1670500000000012E-2</v>
      </c>
      <c r="F11" s="445" t="s">
        <v>212</v>
      </c>
      <c r="G11" s="445"/>
      <c r="H11" s="446"/>
      <c r="I11" s="447" t="s">
        <v>324</v>
      </c>
      <c r="J11" s="448">
        <f>0.083*0.022</f>
        <v>1.8259999999999999E-3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0.16125862500000002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3.6519999999999999E-3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3.6519999999999997E-2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0.19777862500000001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0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18.5</v>
      </c>
      <c r="G17" s="453"/>
      <c r="H17" s="456"/>
      <c r="I17" s="457">
        <f>IF(H17="",D17*F17,D17*F17*H17)</f>
        <v>0.185</v>
      </c>
      <c r="J17" s="311"/>
      <c r="K17" s="417"/>
      <c r="L17" s="417"/>
      <c r="M17" s="417"/>
      <c r="N17" s="417"/>
      <c r="O17" s="436"/>
    </row>
    <row r="18" spans="1:15" ht="31.2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3.6519999999999999E-3</v>
      </c>
      <c r="G20" s="453"/>
      <c r="H20" s="456"/>
      <c r="I20" s="464">
        <f>F20*D20</f>
        <v>1.9172999999999999E-2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1.2991729999999999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300_BOM" display="Back to BOM"/>
    <hyperlink ref="E3" location="dSU_03008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topLeftCell="A4"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313</v>
      </c>
    </row>
  </sheetData>
  <hyperlinks>
    <hyperlink ref="B1" location="SU_03008" display="SU_03008"/>
  </hyperlink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S22"/>
  <sheetViews>
    <sheetView view="pageBreakPreview" zoomScale="60" zoomScaleNormal="85" workbookViewId="0">
      <selection activeCell="G2" sqref="G2"/>
    </sheetView>
  </sheetViews>
  <sheetFormatPr baseColWidth="10" defaultRowHeight="14.4" x14ac:dyDescent="0.3"/>
  <cols>
    <col min="2" max="2" width="23.109375" customWidth="1"/>
    <col min="3" max="3" width="16.6640625" customWidth="1"/>
    <col min="4" max="4" width="8.77734375" customWidth="1"/>
    <col min="7" max="7" width="14" customWidth="1"/>
    <col min="9" max="9" width="21.44140625" customWidth="1"/>
    <col min="15" max="15" width="8.5546875" customWidth="1"/>
    <col min="18" max="18" width="13.8867187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N12+I21</f>
        <v>3.3353805440000004</v>
      </c>
      <c r="O2" s="62"/>
    </row>
    <row r="3" spans="1:19" x14ac:dyDescent="0.3">
      <c r="A3" s="102" t="s">
        <v>3</v>
      </c>
      <c r="B3" s="16" t="str">
        <f>'SU A0100'!B3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9" x14ac:dyDescent="0.3">
      <c r="A4" s="102" t="s">
        <v>5</v>
      </c>
      <c r="B4" s="88" t="str">
        <f>'SU A0100'!B4</f>
        <v>Upper Front A-arm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73" t="s">
        <v>157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6.6707610880000008</v>
      </c>
      <c r="O5" s="62"/>
    </row>
    <row r="6" spans="1:19" x14ac:dyDescent="0.3">
      <c r="A6" s="102" t="s">
        <v>7</v>
      </c>
      <c r="B6" s="28" t="s">
        <v>171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x14ac:dyDescent="0.3">
      <c r="A11" s="85">
        <v>10</v>
      </c>
      <c r="B11" s="26" t="s">
        <v>132</v>
      </c>
      <c r="C11" s="20" t="s">
        <v>38</v>
      </c>
      <c r="D11" s="30">
        <f>4.2</f>
        <v>4.2</v>
      </c>
      <c r="E11" s="263">
        <f>J11*K11*L11</f>
        <v>0.20437632</v>
      </c>
      <c r="F11" s="20" t="s">
        <v>162</v>
      </c>
      <c r="G11" s="20"/>
      <c r="H11" s="19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30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0.85838054400000008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R13" s="135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ht="28.8" x14ac:dyDescent="0.3">
      <c r="A15" s="338">
        <v>10</v>
      </c>
      <c r="B15" s="339" t="s">
        <v>39</v>
      </c>
      <c r="C15" s="338"/>
      <c r="D15" s="340">
        <v>1.3</v>
      </c>
      <c r="E15" s="339" t="s">
        <v>32</v>
      </c>
      <c r="F15" s="338">
        <v>1</v>
      </c>
      <c r="G15" s="338" t="s">
        <v>295</v>
      </c>
      <c r="H15" s="338">
        <v>0.5</v>
      </c>
      <c r="I15" s="341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ht="28.2" customHeight="1" x14ac:dyDescent="0.3">
      <c r="A16" s="342">
        <v>20</v>
      </c>
      <c r="B16" s="339" t="s">
        <v>159</v>
      </c>
      <c r="C16" s="343" t="s">
        <v>263</v>
      </c>
      <c r="D16" s="344">
        <v>0.04</v>
      </c>
      <c r="E16" s="342" t="s">
        <v>161</v>
      </c>
      <c r="F16" s="345">
        <v>17</v>
      </c>
      <c r="G16" s="339" t="s">
        <v>264</v>
      </c>
      <c r="H16" s="237">
        <v>1</v>
      </c>
      <c r="I16" s="346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ht="28.8" x14ac:dyDescent="0.3">
      <c r="A17" s="338">
        <v>30</v>
      </c>
      <c r="B17" s="339" t="s">
        <v>158</v>
      </c>
      <c r="C17" s="338"/>
      <c r="D17" s="340">
        <v>0.65</v>
      </c>
      <c r="E17" s="339" t="s">
        <v>32</v>
      </c>
      <c r="F17" s="338">
        <v>1</v>
      </c>
      <c r="G17" s="338" t="s">
        <v>295</v>
      </c>
      <c r="H17" s="338">
        <v>0.5</v>
      </c>
      <c r="I17" s="341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ht="15.6" customHeight="1" x14ac:dyDescent="0.3">
      <c r="A18" s="342">
        <v>40</v>
      </c>
      <c r="B18" s="339" t="s">
        <v>159</v>
      </c>
      <c r="C18" s="343" t="s">
        <v>265</v>
      </c>
      <c r="D18" s="344">
        <v>0.04</v>
      </c>
      <c r="E18" s="342" t="s">
        <v>161</v>
      </c>
      <c r="F18" s="345">
        <v>2</v>
      </c>
      <c r="G18" s="339" t="s">
        <v>264</v>
      </c>
      <c r="H18" s="237">
        <v>1</v>
      </c>
      <c r="I18" s="346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x14ac:dyDescent="0.3">
      <c r="A19" s="338">
        <v>50</v>
      </c>
      <c r="B19" s="339" t="s">
        <v>158</v>
      </c>
      <c r="C19" s="338"/>
      <c r="D19" s="340">
        <v>0.65</v>
      </c>
      <c r="E19" s="339" t="s">
        <v>32</v>
      </c>
      <c r="F19" s="338">
        <v>1</v>
      </c>
      <c r="G19" s="338"/>
      <c r="H19" s="338"/>
      <c r="I19" s="341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ht="14.4" customHeight="1" x14ac:dyDescent="0.3">
      <c r="A20" s="342">
        <v>60</v>
      </c>
      <c r="B20" s="339" t="s">
        <v>159</v>
      </c>
      <c r="C20" s="343" t="s">
        <v>266</v>
      </c>
      <c r="D20" s="344">
        <v>0.04</v>
      </c>
      <c r="E20" s="342" t="s">
        <v>161</v>
      </c>
      <c r="F20" s="345">
        <v>2.2999999999999998</v>
      </c>
      <c r="G20" s="339" t="s">
        <v>264</v>
      </c>
      <c r="H20" s="237">
        <v>1</v>
      </c>
      <c r="I20" s="346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67"/>
      <c r="B21" s="24"/>
      <c r="C21" s="24"/>
      <c r="D21" s="24"/>
      <c r="E21" s="24"/>
      <c r="F21" s="24"/>
      <c r="G21" s="24"/>
      <c r="H21" s="111" t="s">
        <v>18</v>
      </c>
      <c r="I21" s="109">
        <f>SUM(I15:I20)</f>
        <v>2.4770000000000003</v>
      </c>
      <c r="J21" s="24"/>
      <c r="K21" s="24"/>
      <c r="L21" s="24"/>
      <c r="M21" s="24"/>
      <c r="N21" s="24"/>
      <c r="O21" s="62"/>
    </row>
    <row r="22" spans="1:19" ht="15" thickBot="1" x14ac:dyDescent="0.35">
      <c r="A22" s="69"/>
      <c r="B22" s="70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  <c r="N22" s="70"/>
      <c r="O22" s="71"/>
    </row>
  </sheetData>
  <hyperlinks>
    <hyperlink ref="B4" location="'SU A0100'!A1" display="'SU A0100'!A1"/>
    <hyperlink ref="E3" location="dSU_01002" display="Drawing"/>
    <hyperlink ref="G2" location="SU_A0100_BOM" display="Back to BOM"/>
  </hyperlinks>
  <pageMargins left="0.7" right="0.7" top="0.75" bottom="0.75" header="0.3" footer="0.3"/>
  <pageSetup paperSize="9" scale="41" orientation="portrait" r:id="rId1"/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16.6640625" customWidth="1"/>
    <col min="3" max="3" width="17.332031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1.49211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197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290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1.49211</v>
      </c>
      <c r="O5" s="436"/>
    </row>
    <row r="6" spans="1:15" x14ac:dyDescent="0.3">
      <c r="A6" s="433" t="s">
        <v>7</v>
      </c>
      <c r="B6" s="439" t="s">
        <v>330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43.2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6.9079999999999989E-2</v>
      </c>
      <c r="F11" s="445" t="s">
        <v>212</v>
      </c>
      <c r="G11" s="445"/>
      <c r="H11" s="446"/>
      <c r="I11" s="447" t="s">
        <v>325</v>
      </c>
      <c r="J11" s="448">
        <f>0.08*0.022</f>
        <v>1.7599999999999998E-3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0.15543000000000001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3.5199999999999997E-3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3.5199999999999995E-2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0.19063000000000002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2.4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18.8</v>
      </c>
      <c r="G17" s="453"/>
      <c r="H17" s="456"/>
      <c r="I17" s="457">
        <f>IF(H17="",D17*F17,D17*F17*H17)</f>
        <v>0.188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3.5199999999999997E-3</v>
      </c>
      <c r="G20" s="453"/>
      <c r="H20" s="456"/>
      <c r="I20" s="464">
        <f>F20*D20</f>
        <v>1.848E-2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1.30148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300_BOM" display="Back to BOM"/>
    <hyperlink ref="E3" location="dSU_03009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314</v>
      </c>
    </row>
  </sheetData>
  <hyperlinks>
    <hyperlink ref="B1" location="SU_03009" display="SU_03009"/>
  </hyperlinks>
  <pageMargins left="0.7" right="0.7" top="0.75" bottom="0.75" header="0.3" footer="0.3"/>
  <pageSetup paperSize="9" orientation="portrait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2" sqref="N2"/>
    </sheetView>
  </sheetViews>
  <sheetFormatPr baseColWidth="10" defaultRowHeight="14.4" x14ac:dyDescent="0.3"/>
  <cols>
    <col min="2" max="2" width="17.77734375" customWidth="1"/>
    <col min="3" max="3" width="14.5546875" customWidth="1"/>
    <col min="9" max="9" width="13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1.2680301249999999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197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291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1.2680301249999999</v>
      </c>
      <c r="O5" s="436"/>
    </row>
    <row r="6" spans="1:15" x14ac:dyDescent="0.3">
      <c r="A6" s="433" t="s">
        <v>7</v>
      </c>
      <c r="B6" s="439" t="s">
        <v>331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2" customHeight="1" x14ac:dyDescent="0.3">
      <c r="A11" s="440">
        <v>10</v>
      </c>
      <c r="B11" s="441" t="s">
        <v>278</v>
      </c>
      <c r="C11" s="643" t="s">
        <v>279</v>
      </c>
      <c r="D11" s="443">
        <v>2.25</v>
      </c>
      <c r="E11" s="444">
        <f>J11*K11*L11</f>
        <v>2.6768500000000001E-2</v>
      </c>
      <c r="F11" s="445" t="s">
        <v>212</v>
      </c>
      <c r="G11" s="445"/>
      <c r="H11" s="446"/>
      <c r="I11" s="447" t="s">
        <v>326</v>
      </c>
      <c r="J11" s="448">
        <f>0.031*0.022</f>
        <v>6.8199999999999999E-4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6.0229125000000001E-2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1.364E-3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1.3639999999999999E-2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7.3869125000000008E-2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3" customHeight="1" x14ac:dyDescent="0.3">
      <c r="A16" s="452">
        <v>10</v>
      </c>
      <c r="B16" s="453" t="s">
        <v>39</v>
      </c>
      <c r="C16" s="454" t="s">
        <v>312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9.1999999999999993</v>
      </c>
      <c r="G17" s="453"/>
      <c r="H17" s="456"/>
      <c r="I17" s="457">
        <f>IF(H17="",D17*F17,D17*F17*H17)</f>
        <v>9.1999999999999998E-2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1.364E-3</v>
      </c>
      <c r="G20" s="453"/>
      <c r="H20" s="456"/>
      <c r="I20" s="464">
        <f>F20*D20</f>
        <v>7.1609999999999998E-3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1.1941609999999998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300_BOM" display="Back to BOM"/>
    <hyperlink ref="E3" location="dSU_03010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topLeftCell="A4" workbookViewId="0"/>
  </sheetViews>
  <sheetFormatPr baseColWidth="10" defaultRowHeight="14.4" x14ac:dyDescent="0.3"/>
  <sheetData>
    <row r="1" spans="1:2" x14ac:dyDescent="0.3">
      <c r="A1" t="s">
        <v>304</v>
      </c>
      <c r="B1" s="287" t="s">
        <v>315</v>
      </c>
    </row>
  </sheetData>
  <hyperlinks>
    <hyperlink ref="B1" location="SU_03010" display="SU_03010"/>
  </hyperlinks>
  <pageMargins left="0.7" right="0.7" top="0.75" bottom="0.75" header="0.3" footer="0.3"/>
  <pageSetup paperSize="9" orientation="portrait" r:id="rId1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F2" sqref="F2"/>
    </sheetView>
  </sheetViews>
  <sheetFormatPr baseColWidth="10" defaultRowHeight="14.4" x14ac:dyDescent="0.3"/>
  <cols>
    <col min="2" max="2" width="17.6640625" customWidth="1"/>
    <col min="3" max="3" width="17.21875" customWidth="1"/>
    <col min="7" max="7" width="16.109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1.3787631249999999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197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292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1.3787631249999999</v>
      </c>
      <c r="O5" s="436"/>
    </row>
    <row r="6" spans="1:15" x14ac:dyDescent="0.3">
      <c r="A6" s="433" t="s">
        <v>7</v>
      </c>
      <c r="B6" s="439" t="s">
        <v>328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43.2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4.74925E-2</v>
      </c>
      <c r="F11" s="445" t="s">
        <v>212</v>
      </c>
      <c r="G11" s="445"/>
      <c r="H11" s="446"/>
      <c r="I11" s="447" t="s">
        <v>327</v>
      </c>
      <c r="J11" s="448">
        <f>0.055*0.022</f>
        <v>1.2099999999999999E-3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0.10685812499999998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2.4199999999999998E-3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2.4199999999999999E-2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0.13105812499999997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28.2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14</v>
      </c>
      <c r="G17" s="453"/>
      <c r="H17" s="456"/>
      <c r="I17" s="457">
        <f>IF(H17="",D17*F17,D17*F17*H17)</f>
        <v>0.14000000000000001</v>
      </c>
      <c r="J17" s="311"/>
      <c r="K17" s="417"/>
      <c r="L17" s="417"/>
      <c r="M17" s="417"/>
      <c r="N17" s="417"/>
      <c r="O17" s="436"/>
    </row>
    <row r="18" spans="1:15" ht="28.8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13.2" customHeight="1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2.4199999999999998E-3</v>
      </c>
      <c r="G20" s="453"/>
      <c r="H20" s="456"/>
      <c r="I20" s="464">
        <f>F20*D20</f>
        <v>1.2704999999999999E-2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1.2477049999999998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300_BOM" display="Back to BOM"/>
    <hyperlink ref="E3" location="dSU_03011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316</v>
      </c>
    </row>
  </sheetData>
  <hyperlinks>
    <hyperlink ref="B1" location="SU_03011" display="SU_03011"/>
  </hyperlinks>
  <pageMargins left="0.7" right="0.7" top="0.75" bottom="0.75" header="0.3" footer="0.3"/>
  <pageSetup paperSize="9" orientation="portrait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70" zoomScaleNormal="70" zoomScaleSheetLayoutView="80" workbookViewId="0">
      <selection activeCell="B10" sqref="B10"/>
    </sheetView>
  </sheetViews>
  <sheetFormatPr baseColWidth="10" defaultColWidth="9.109375" defaultRowHeight="14.4" x14ac:dyDescent="0.3"/>
  <cols>
    <col min="1" max="1" width="9.109375" style="155"/>
    <col min="2" max="2" width="57.109375" style="155" customWidth="1"/>
    <col min="3" max="3" width="55.6640625" style="155" customWidth="1"/>
    <col min="4" max="4" width="10.6640625" style="155" customWidth="1"/>
    <col min="5" max="13" width="9.109375" style="155"/>
    <col min="14" max="14" width="11.5546875" style="155" customWidth="1"/>
    <col min="15" max="15" width="5.33203125" style="155" customWidth="1"/>
    <col min="16" max="16384" width="9.10937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56" t="s">
        <v>0</v>
      </c>
      <c r="B2" s="157" t="s">
        <v>37</v>
      </c>
      <c r="C2" s="158"/>
      <c r="D2" s="158"/>
      <c r="E2" s="88" t="s">
        <v>126</v>
      </c>
      <c r="F2" s="158"/>
      <c r="G2" s="158"/>
      <c r="H2" s="158"/>
      <c r="I2" s="158"/>
      <c r="J2" s="156" t="s">
        <v>1</v>
      </c>
      <c r="K2" s="159">
        <v>81</v>
      </c>
      <c r="L2" s="158"/>
      <c r="M2" s="156" t="s">
        <v>2</v>
      </c>
      <c r="N2" s="95" t="e">
        <f>SU_A0400_pa+SU_A0400_m+SU_A0400_p+SU_A0400_f</f>
        <v>#REF!</v>
      </c>
      <c r="O2" s="160"/>
    </row>
    <row r="3" spans="1:15" x14ac:dyDescent="0.3">
      <c r="A3" s="156" t="s">
        <v>3</v>
      </c>
      <c r="B3" s="157" t="s">
        <v>129</v>
      </c>
      <c r="C3" s="158"/>
      <c r="D3" s="158"/>
      <c r="E3" s="158"/>
      <c r="F3" s="158"/>
      <c r="G3" s="158"/>
      <c r="H3" s="158"/>
      <c r="I3" s="158"/>
      <c r="J3" s="158"/>
      <c r="K3" s="158"/>
      <c r="L3" s="158"/>
      <c r="M3" s="156" t="s">
        <v>4</v>
      </c>
      <c r="N3" s="82">
        <v>2</v>
      </c>
      <c r="O3" s="160"/>
    </row>
    <row r="4" spans="1:15" x14ac:dyDescent="0.3">
      <c r="A4" s="156" t="s">
        <v>5</v>
      </c>
      <c r="B4" s="161" t="s">
        <v>213</v>
      </c>
      <c r="C4" s="158"/>
      <c r="D4" s="158"/>
      <c r="E4" s="158"/>
      <c r="F4" s="158"/>
      <c r="G4" s="158"/>
      <c r="H4" s="158"/>
      <c r="I4" s="158"/>
      <c r="J4" s="162" t="s">
        <v>6</v>
      </c>
      <c r="K4" s="158"/>
      <c r="L4" s="158"/>
      <c r="M4" s="158"/>
      <c r="N4" s="158"/>
      <c r="O4" s="160"/>
    </row>
    <row r="5" spans="1:15" x14ac:dyDescent="0.3">
      <c r="A5" s="156" t="s">
        <v>7</v>
      </c>
      <c r="B5" s="163" t="s">
        <v>214</v>
      </c>
      <c r="C5" s="158"/>
      <c r="D5" s="158"/>
      <c r="E5" s="158"/>
      <c r="F5" s="158"/>
      <c r="G5" s="158"/>
      <c r="H5" s="158"/>
      <c r="I5" s="158"/>
      <c r="J5" s="162" t="s">
        <v>8</v>
      </c>
      <c r="K5" s="158"/>
      <c r="L5" s="158"/>
      <c r="M5" s="156" t="s">
        <v>9</v>
      </c>
      <c r="N5" s="74" t="e">
        <f>N2*N3</f>
        <v>#REF!</v>
      </c>
      <c r="O5" s="160"/>
    </row>
    <row r="6" spans="1:15" x14ac:dyDescent="0.3">
      <c r="A6" s="156" t="s">
        <v>10</v>
      </c>
      <c r="B6" s="157"/>
      <c r="C6" s="158"/>
      <c r="D6" s="158"/>
      <c r="E6" s="158"/>
      <c r="F6" s="158"/>
      <c r="G6" s="158"/>
      <c r="H6" s="158"/>
      <c r="I6" s="158"/>
      <c r="J6" s="162" t="s">
        <v>12</v>
      </c>
      <c r="K6" s="158"/>
      <c r="L6" s="158"/>
      <c r="M6" s="158"/>
      <c r="N6" s="158"/>
      <c r="O6" s="160"/>
    </row>
    <row r="7" spans="1:15" x14ac:dyDescent="0.3">
      <c r="A7" s="156" t="s">
        <v>13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64"/>
      <c r="B8" s="158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56" t="s">
        <v>14</v>
      </c>
      <c r="B9" s="156" t="s">
        <v>15</v>
      </c>
      <c r="C9" s="156" t="s">
        <v>16</v>
      </c>
      <c r="D9" s="156" t="s">
        <v>17</v>
      </c>
      <c r="E9" s="156" t="s">
        <v>18</v>
      </c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65">
        <v>10</v>
      </c>
      <c r="B10" s="86" t="str">
        <f>'SU 04001'!B5</f>
        <v>Lower Back Bearing Support</v>
      </c>
      <c r="C10" s="74">
        <f>'SU 04001'!N2</f>
        <v>8.9540000000000006</v>
      </c>
      <c r="D10" s="166">
        <f>SU_04001_q</f>
        <v>1</v>
      </c>
      <c r="E10" s="74">
        <f t="shared" ref="E10:E20" si="0">C10*D10</f>
        <v>8.9540000000000006</v>
      </c>
      <c r="F10" s="158"/>
      <c r="G10" s="158"/>
      <c r="H10" s="158"/>
      <c r="I10" s="158"/>
      <c r="J10" s="158"/>
      <c r="K10" s="158"/>
      <c r="L10" s="158"/>
      <c r="M10" s="158"/>
      <c r="N10" s="158"/>
      <c r="O10" s="160"/>
    </row>
    <row r="11" spans="1:15" x14ac:dyDescent="0.3">
      <c r="A11" s="165">
        <v>20</v>
      </c>
      <c r="B11" s="86" t="str">
        <f>'SU 04002'!B5</f>
        <v>Inner Bearing Support</v>
      </c>
      <c r="C11" s="74">
        <f>'SU 04002'!N2</f>
        <v>3.3353805440000004</v>
      </c>
      <c r="D11" s="166">
        <f>SU_04002_q</f>
        <v>2</v>
      </c>
      <c r="E11" s="74">
        <f t="shared" si="0"/>
        <v>6.6707610880000008</v>
      </c>
      <c r="F11" s="161"/>
      <c r="G11" s="161"/>
      <c r="H11" s="161"/>
      <c r="I11" s="161"/>
      <c r="J11" s="161"/>
      <c r="K11" s="161"/>
      <c r="L11" s="161"/>
      <c r="M11" s="161"/>
      <c r="N11" s="161"/>
      <c r="O11" s="160"/>
    </row>
    <row r="12" spans="1:15" x14ac:dyDescent="0.3">
      <c r="A12" s="165">
        <v>30</v>
      </c>
      <c r="B12" s="86" t="str">
        <f>'SU 04003'!B5</f>
        <v>Lower Back A-arm tube (Front)  Carbon Fiber Tube</v>
      </c>
      <c r="C12" s="74">
        <f>'SU 04003'!N2</f>
        <v>12.033390599999997</v>
      </c>
      <c r="D12" s="166">
        <f>SU_04003_q</f>
        <v>1</v>
      </c>
      <c r="E12" s="74">
        <f t="shared" si="0"/>
        <v>12.033390599999997</v>
      </c>
      <c r="F12" s="161"/>
      <c r="G12" s="161"/>
      <c r="H12" s="161"/>
      <c r="I12" s="161"/>
      <c r="J12" s="161"/>
      <c r="K12" s="161"/>
      <c r="L12" s="161"/>
      <c r="M12" s="161"/>
      <c r="N12" s="161"/>
      <c r="O12" s="64"/>
    </row>
    <row r="13" spans="1:15" s="167" customFormat="1" x14ac:dyDescent="0.3">
      <c r="A13" s="165">
        <v>40</v>
      </c>
      <c r="B13" s="86" t="str">
        <f>'SU 04004'!B5</f>
        <v>Lower Back A-arm tube (Back)  Carbon Fiber Tube</v>
      </c>
      <c r="C13" s="74">
        <f>'SU 04004'!N2</f>
        <v>7.4075677199999985</v>
      </c>
      <c r="D13" s="166">
        <f>SU_04004_q</f>
        <v>1</v>
      </c>
      <c r="E13" s="74">
        <f t="shared" si="0"/>
        <v>7.4075677199999985</v>
      </c>
      <c r="F13" s="161"/>
      <c r="G13" s="161"/>
      <c r="H13" s="161"/>
      <c r="I13" s="161"/>
      <c r="J13" s="161"/>
      <c r="K13" s="161"/>
      <c r="L13" s="161"/>
      <c r="M13" s="161"/>
      <c r="N13" s="161"/>
      <c r="O13" s="64"/>
    </row>
    <row r="14" spans="1:15" s="167" customFormat="1" x14ac:dyDescent="0.3">
      <c r="A14" s="165">
        <v>50</v>
      </c>
      <c r="B14" s="86" t="str">
        <f>'SU 04005'!B5</f>
        <v>Spacer 1</v>
      </c>
      <c r="C14" s="74">
        <f>'SU 04005'!N2</f>
        <v>2.6676857568000001</v>
      </c>
      <c r="D14" s="166">
        <f>SU_04005_q</f>
        <v>2</v>
      </c>
      <c r="E14" s="74">
        <f t="shared" si="0"/>
        <v>5.3353715136000002</v>
      </c>
      <c r="F14" s="161"/>
      <c r="G14" s="161"/>
      <c r="H14" s="161"/>
      <c r="I14" s="161"/>
      <c r="J14" s="161"/>
      <c r="K14" s="161"/>
      <c r="L14" s="161"/>
      <c r="M14" s="161"/>
      <c r="N14" s="161"/>
      <c r="O14" s="168"/>
    </row>
    <row r="15" spans="1:15" s="167" customFormat="1" x14ac:dyDescent="0.3">
      <c r="A15" s="165">
        <v>60</v>
      </c>
      <c r="B15" s="86" t="str">
        <f>'SU 04006'!B5</f>
        <v>Spacer 2</v>
      </c>
      <c r="C15" s="74">
        <f>'SU 04006'!N2</f>
        <v>1.1551782399999999</v>
      </c>
      <c r="D15" s="166">
        <f>SU_04006_q</f>
        <v>4</v>
      </c>
      <c r="E15" s="74">
        <f t="shared" si="0"/>
        <v>4.6207129599999996</v>
      </c>
      <c r="F15" s="161"/>
      <c r="G15" s="161"/>
      <c r="H15" s="161"/>
      <c r="I15" s="161"/>
      <c r="J15" s="161"/>
      <c r="K15" s="161"/>
      <c r="L15" s="161"/>
      <c r="M15" s="161"/>
      <c r="N15" s="161"/>
      <c r="O15" s="168"/>
    </row>
    <row r="16" spans="1:15" s="167" customFormat="1" x14ac:dyDescent="0.3">
      <c r="A16" s="165">
        <v>70</v>
      </c>
      <c r="B16" s="86" t="str">
        <f>'SU 04007'!B5</f>
        <v>Outboard A-arm Insert</v>
      </c>
      <c r="C16" s="74">
        <f>'SU 04007'!N2</f>
        <v>0.47719727680000001</v>
      </c>
      <c r="D16" s="166">
        <f>SU_04007_q</f>
        <v>2</v>
      </c>
      <c r="E16" s="74">
        <f t="shared" si="0"/>
        <v>0.95439455360000003</v>
      </c>
      <c r="F16" s="161"/>
      <c r="G16" s="161"/>
      <c r="H16" s="161"/>
      <c r="I16" s="161"/>
      <c r="J16" s="161"/>
      <c r="K16" s="161"/>
      <c r="L16" s="161"/>
      <c r="M16" s="161"/>
      <c r="N16" s="161"/>
      <c r="O16" s="168"/>
    </row>
    <row r="17" spans="1:15" s="17" customFormat="1" x14ac:dyDescent="0.3">
      <c r="A17" s="496">
        <v>80</v>
      </c>
      <c r="B17" s="576" t="str">
        <f>'SU 04008'!B5</f>
        <v>Front up bracket</v>
      </c>
      <c r="C17" s="502">
        <f>'SU 04008'!N2</f>
        <v>1.3905750000000001</v>
      </c>
      <c r="D17" s="486">
        <f>SU_04008_q</f>
        <v>1</v>
      </c>
      <c r="E17" s="74">
        <f t="shared" si="0"/>
        <v>1.3905750000000001</v>
      </c>
      <c r="F17" s="352"/>
      <c r="G17" s="352"/>
      <c r="H17" s="352"/>
      <c r="I17" s="352"/>
      <c r="J17" s="352"/>
      <c r="K17" s="352"/>
      <c r="L17" s="352"/>
      <c r="M17" s="352"/>
      <c r="N17" s="352"/>
      <c r="O17" s="357"/>
    </row>
    <row r="18" spans="1:15" s="17" customFormat="1" x14ac:dyDescent="0.3">
      <c r="A18" s="496">
        <v>90</v>
      </c>
      <c r="B18" s="576" t="str">
        <f>'SU 04009'!B5</f>
        <v>Front down bracket</v>
      </c>
      <c r="C18" s="502">
        <f>'SU 04009'!N2</f>
        <v>1.3814265000000003</v>
      </c>
      <c r="D18" s="486">
        <f>SU_04009_q</f>
        <v>1</v>
      </c>
      <c r="E18" s="74">
        <f t="shared" si="0"/>
        <v>1.3814265000000003</v>
      </c>
      <c r="F18" s="352"/>
      <c r="G18" s="352"/>
      <c r="H18" s="352"/>
      <c r="I18" s="352"/>
      <c r="J18" s="352"/>
      <c r="K18" s="352"/>
      <c r="L18" s="352"/>
      <c r="M18" s="352"/>
      <c r="N18" s="352"/>
      <c r="O18" s="357"/>
    </row>
    <row r="19" spans="1:15" s="17" customFormat="1" x14ac:dyDescent="0.3">
      <c r="A19" s="496">
        <v>100</v>
      </c>
      <c r="B19" s="576" t="str">
        <f>'SU 04010'!B5</f>
        <v>Rear up bracket</v>
      </c>
      <c r="C19" s="502">
        <f>'SU 04010'!N2</f>
        <v>1.8130709999999999</v>
      </c>
      <c r="D19" s="486">
        <f>SU_04010_q</f>
        <v>1</v>
      </c>
      <c r="E19" s="74">
        <f t="shared" si="0"/>
        <v>1.8130709999999999</v>
      </c>
      <c r="F19" s="352"/>
      <c r="G19" s="352"/>
      <c r="H19" s="352"/>
      <c r="I19" s="352"/>
      <c r="J19" s="352"/>
      <c r="K19" s="352"/>
      <c r="L19" s="352"/>
      <c r="M19" s="352"/>
      <c r="N19" s="352"/>
      <c r="O19" s="357"/>
    </row>
    <row r="20" spans="1:15" s="17" customFormat="1" x14ac:dyDescent="0.3">
      <c r="A20" s="496">
        <v>110</v>
      </c>
      <c r="B20" s="576" t="str">
        <f>'SU 04011'!B5</f>
        <v>Rear down bracket</v>
      </c>
      <c r="C20" s="502">
        <f>'SU 04011'!N2</f>
        <v>1.9015070000000001</v>
      </c>
      <c r="D20" s="486">
        <f>SU_04011_q</f>
        <v>1</v>
      </c>
      <c r="E20" s="74">
        <f t="shared" si="0"/>
        <v>1.9015070000000001</v>
      </c>
      <c r="F20" s="352"/>
      <c r="G20" s="352"/>
      <c r="H20" s="352"/>
      <c r="I20" s="352"/>
      <c r="J20" s="352"/>
      <c r="K20" s="352"/>
      <c r="L20" s="352"/>
      <c r="M20" s="352"/>
      <c r="N20" s="352"/>
      <c r="O20" s="357"/>
    </row>
    <row r="21" spans="1:15" x14ac:dyDescent="0.3">
      <c r="A21" s="164"/>
      <c r="B21" s="158"/>
      <c r="C21" s="158"/>
      <c r="D21" s="169" t="s">
        <v>18</v>
      </c>
      <c r="E21" s="170" t="e">
        <f>SUM(#REF!)</f>
        <v>#REF!</v>
      </c>
      <c r="F21" s="161"/>
      <c r="G21" s="161"/>
      <c r="H21" s="161"/>
      <c r="I21" s="161"/>
      <c r="J21" s="161"/>
      <c r="K21" s="161"/>
      <c r="L21" s="161"/>
      <c r="M21" s="161"/>
      <c r="N21" s="161"/>
      <c r="O21" s="160"/>
    </row>
    <row r="22" spans="1:15" x14ac:dyDescent="0.3">
      <c r="A22" s="164"/>
      <c r="B22" s="158"/>
      <c r="C22" s="158"/>
      <c r="D22" s="158"/>
      <c r="E22" s="158"/>
      <c r="F22" s="158"/>
      <c r="G22" s="158"/>
      <c r="H22" s="158"/>
      <c r="I22" s="158"/>
      <c r="J22" s="158"/>
      <c r="K22" s="158"/>
      <c r="L22" s="158"/>
      <c r="M22" s="158"/>
      <c r="N22" s="158"/>
      <c r="O22" s="160"/>
    </row>
    <row r="23" spans="1:15" x14ac:dyDescent="0.3">
      <c r="A23" s="156" t="s">
        <v>14</v>
      </c>
      <c r="B23" s="156" t="s">
        <v>19</v>
      </c>
      <c r="C23" s="156" t="s">
        <v>20</v>
      </c>
      <c r="D23" s="156" t="s">
        <v>21</v>
      </c>
      <c r="E23" s="156" t="s">
        <v>22</v>
      </c>
      <c r="F23" s="156" t="s">
        <v>23</v>
      </c>
      <c r="G23" s="156" t="s">
        <v>24</v>
      </c>
      <c r="H23" s="156" t="s">
        <v>25</v>
      </c>
      <c r="I23" s="156" t="s">
        <v>26</v>
      </c>
      <c r="J23" s="156" t="s">
        <v>27</v>
      </c>
      <c r="K23" s="156" t="s">
        <v>28</v>
      </c>
      <c r="L23" s="156" t="s">
        <v>29</v>
      </c>
      <c r="M23" s="156" t="s">
        <v>17</v>
      </c>
      <c r="N23" s="156" t="s">
        <v>18</v>
      </c>
      <c r="O23" s="160"/>
    </row>
    <row r="24" spans="1:15" ht="14.4" customHeight="1" x14ac:dyDescent="0.3">
      <c r="A24" s="165">
        <v>10</v>
      </c>
      <c r="B24" s="165" t="s">
        <v>131</v>
      </c>
      <c r="C24" s="165"/>
      <c r="D24" s="127">
        <f>0.03*E24^2+5</f>
        <v>6.92</v>
      </c>
      <c r="E24" s="165">
        <v>8</v>
      </c>
      <c r="F24" s="165" t="s">
        <v>30</v>
      </c>
      <c r="G24" s="165"/>
      <c r="H24" s="75"/>
      <c r="I24" s="171"/>
      <c r="J24" s="77"/>
      <c r="K24" s="75"/>
      <c r="L24" s="75"/>
      <c r="M24" s="75">
        <v>3</v>
      </c>
      <c r="N24" s="74">
        <f>M24*D24</f>
        <v>20.759999999999998</v>
      </c>
      <c r="O24" s="160"/>
    </row>
    <row r="25" spans="1:15" s="178" customFormat="1" ht="14.4" customHeight="1" x14ac:dyDescent="0.3">
      <c r="A25" s="165">
        <v>20</v>
      </c>
      <c r="B25" s="172" t="s">
        <v>136</v>
      </c>
      <c r="C25" s="173" t="s">
        <v>137</v>
      </c>
      <c r="D25" s="74"/>
      <c r="E25" s="174"/>
      <c r="F25" s="174"/>
      <c r="G25" s="174"/>
      <c r="H25" s="75"/>
      <c r="I25" s="175"/>
      <c r="J25" s="97"/>
      <c r="K25" s="78"/>
      <c r="L25" s="176"/>
      <c r="M25" s="80"/>
      <c r="N25" s="74">
        <f>M25*D25</f>
        <v>0</v>
      </c>
      <c r="O25" s="177"/>
    </row>
    <row r="26" spans="1:15" ht="14.4" customHeight="1" x14ac:dyDescent="0.3">
      <c r="A26" s="165">
        <v>30</v>
      </c>
      <c r="B26" s="172" t="s">
        <v>136</v>
      </c>
      <c r="C26" s="173" t="s">
        <v>138</v>
      </c>
      <c r="D26" s="74"/>
      <c r="E26" s="165"/>
      <c r="F26" s="165"/>
      <c r="G26" s="165"/>
      <c r="H26" s="75"/>
      <c r="I26" s="80"/>
      <c r="J26" s="81"/>
      <c r="K26" s="75"/>
      <c r="L26" s="176"/>
      <c r="M26" s="75"/>
      <c r="N26" s="74">
        <f>M26*D26</f>
        <v>0</v>
      </c>
      <c r="O26" s="160"/>
    </row>
    <row r="27" spans="1:15" x14ac:dyDescent="0.3">
      <c r="A27" s="179"/>
      <c r="B27" s="180"/>
      <c r="C27" s="180"/>
      <c r="D27" s="180"/>
      <c r="E27" s="180"/>
      <c r="F27" s="180"/>
      <c r="G27" s="180"/>
      <c r="H27" s="180"/>
      <c r="I27" s="180"/>
      <c r="J27" s="180"/>
      <c r="K27" s="180"/>
      <c r="L27" s="180"/>
      <c r="M27" s="156" t="s">
        <v>18</v>
      </c>
      <c r="N27" s="170">
        <f>SUM(N24:N26)</f>
        <v>20.759999999999998</v>
      </c>
      <c r="O27" s="160"/>
    </row>
    <row r="28" spans="1:15" x14ac:dyDescent="0.3">
      <c r="A28" s="164"/>
      <c r="B28" s="158"/>
      <c r="C28" s="158"/>
      <c r="D28" s="158"/>
      <c r="E28" s="158"/>
      <c r="F28" s="158"/>
      <c r="G28" s="158"/>
      <c r="H28" s="158"/>
      <c r="I28" s="158"/>
      <c r="J28" s="158"/>
      <c r="K28" s="158"/>
      <c r="L28" s="158"/>
      <c r="M28" s="158"/>
      <c r="N28" s="158"/>
      <c r="O28" s="160"/>
    </row>
    <row r="29" spans="1:15" s="182" customFormat="1" x14ac:dyDescent="0.3">
      <c r="A29" s="156" t="s">
        <v>14</v>
      </c>
      <c r="B29" s="156" t="s">
        <v>31</v>
      </c>
      <c r="C29" s="156" t="s">
        <v>20</v>
      </c>
      <c r="D29" s="156" t="s">
        <v>21</v>
      </c>
      <c r="E29" s="156" t="s">
        <v>32</v>
      </c>
      <c r="F29" s="156" t="s">
        <v>17</v>
      </c>
      <c r="G29" s="156" t="s">
        <v>33</v>
      </c>
      <c r="H29" s="156" t="s">
        <v>34</v>
      </c>
      <c r="I29" s="156" t="s">
        <v>18</v>
      </c>
      <c r="J29" s="180"/>
      <c r="K29" s="180"/>
      <c r="L29" s="180"/>
      <c r="M29" s="180"/>
      <c r="N29" s="180"/>
      <c r="O29" s="181"/>
    </row>
    <row r="30" spans="1:15" s="184" customFormat="1" x14ac:dyDescent="0.3">
      <c r="A30" s="226">
        <v>10</v>
      </c>
      <c r="B30" s="288" t="s">
        <v>142</v>
      </c>
      <c r="C30" s="227" t="s">
        <v>240</v>
      </c>
      <c r="D30" s="285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85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88" t="s">
        <v>139</v>
      </c>
      <c r="C31" s="227" t="s">
        <v>241</v>
      </c>
      <c r="D31" s="285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85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88" t="s">
        <v>142</v>
      </c>
      <c r="C32" s="227" t="s">
        <v>243</v>
      </c>
      <c r="D32" s="285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85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88" t="s">
        <v>225</v>
      </c>
      <c r="C33" s="232" t="s">
        <v>245</v>
      </c>
      <c r="D33" s="285">
        <v>0.06</v>
      </c>
      <c r="E33" s="288" t="s">
        <v>32</v>
      </c>
      <c r="F33" s="237">
        <v>1</v>
      </c>
      <c r="G33" s="237" t="s">
        <v>224</v>
      </c>
      <c r="H33" s="237">
        <v>2</v>
      </c>
      <c r="I33" s="285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88" t="s">
        <v>142</v>
      </c>
      <c r="C34" s="227" t="s">
        <v>246</v>
      </c>
      <c r="D34" s="285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85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88" t="s">
        <v>139</v>
      </c>
      <c r="C35" s="227" t="s">
        <v>247</v>
      </c>
      <c r="D35" s="285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85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88" t="s">
        <v>142</v>
      </c>
      <c r="C36" s="227" t="s">
        <v>226</v>
      </c>
      <c r="D36" s="285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85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88" t="s">
        <v>225</v>
      </c>
      <c r="C37" s="232" t="s">
        <v>248</v>
      </c>
      <c r="D37" s="285">
        <v>0.14000000000000001</v>
      </c>
      <c r="E37" s="288" t="s">
        <v>32</v>
      </c>
      <c r="F37" s="237">
        <v>1</v>
      </c>
      <c r="G37" s="237" t="s">
        <v>224</v>
      </c>
      <c r="H37" s="237">
        <v>2</v>
      </c>
      <c r="I37" s="285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88" t="s">
        <v>142</v>
      </c>
      <c r="C38" s="227" t="s">
        <v>242</v>
      </c>
      <c r="D38" s="285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85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88" t="s">
        <v>139</v>
      </c>
      <c r="C39" s="227" t="s">
        <v>244</v>
      </c>
      <c r="D39" s="285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85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88" t="s">
        <v>142</v>
      </c>
      <c r="C40" s="227" t="s">
        <v>226</v>
      </c>
      <c r="D40" s="285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85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x14ac:dyDescent="0.3">
      <c r="A41" s="226">
        <v>120</v>
      </c>
      <c r="B41" s="288" t="s">
        <v>225</v>
      </c>
      <c r="C41" s="232" t="s">
        <v>249</v>
      </c>
      <c r="D41" s="285">
        <v>0.22</v>
      </c>
      <c r="E41" s="288" t="s">
        <v>32</v>
      </c>
      <c r="F41" s="237">
        <v>1</v>
      </c>
      <c r="G41" s="237" t="s">
        <v>224</v>
      </c>
      <c r="H41" s="237">
        <v>2</v>
      </c>
      <c r="I41" s="285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88" t="s">
        <v>142</v>
      </c>
      <c r="C42" s="227" t="s">
        <v>227</v>
      </c>
      <c r="D42" s="285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85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85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85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88" t="s">
        <v>225</v>
      </c>
      <c r="C44" s="227" t="s">
        <v>230</v>
      </c>
      <c r="D44" s="285">
        <v>0.3</v>
      </c>
      <c r="E44" s="288" t="s">
        <v>32</v>
      </c>
      <c r="F44" s="237">
        <v>1</v>
      </c>
      <c r="G44" s="237" t="s">
        <v>228</v>
      </c>
      <c r="H44" s="237">
        <v>3</v>
      </c>
      <c r="I44" s="285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85">
        <v>0.15</v>
      </c>
      <c r="E45" s="226" t="s">
        <v>140</v>
      </c>
      <c r="F45" s="237">
        <v>22</v>
      </c>
      <c r="G45" s="237"/>
      <c r="H45" s="221"/>
      <c r="I45" s="285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88" t="s">
        <v>233</v>
      </c>
      <c r="C46" s="232" t="s">
        <v>234</v>
      </c>
      <c r="D46" s="285">
        <v>5.25</v>
      </c>
      <c r="E46" s="288" t="s">
        <v>143</v>
      </c>
      <c r="F46" s="237">
        <v>0.01</v>
      </c>
      <c r="G46" s="237"/>
      <c r="H46" s="221"/>
      <c r="I46" s="285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85">
        <v>0.14000000000000001</v>
      </c>
      <c r="E47" s="226" t="s">
        <v>32</v>
      </c>
      <c r="F47" s="237">
        <v>1</v>
      </c>
      <c r="G47" s="237"/>
      <c r="H47" s="221"/>
      <c r="I47" s="285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88" t="s">
        <v>141</v>
      </c>
      <c r="C48" s="232" t="s">
        <v>236</v>
      </c>
      <c r="D48" s="285">
        <v>0.13</v>
      </c>
      <c r="E48" s="288" t="s">
        <v>32</v>
      </c>
      <c r="F48" s="237">
        <v>4</v>
      </c>
      <c r="G48" s="237"/>
      <c r="H48" s="221"/>
      <c r="I48" s="285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88" t="s">
        <v>141</v>
      </c>
      <c r="C49" s="232" t="s">
        <v>237</v>
      </c>
      <c r="D49" s="285">
        <v>0.13</v>
      </c>
      <c r="E49" s="288" t="s">
        <v>32</v>
      </c>
      <c r="F49" s="237">
        <v>8</v>
      </c>
      <c r="G49" s="237"/>
      <c r="H49" s="221"/>
      <c r="I49" s="285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85">
        <v>0.13</v>
      </c>
      <c r="E50" s="226" t="s">
        <v>32</v>
      </c>
      <c r="F50" s="237">
        <v>2</v>
      </c>
      <c r="G50" s="237"/>
      <c r="H50" s="221"/>
      <c r="I50" s="285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88" t="s">
        <v>145</v>
      </c>
      <c r="C51" s="232" t="s">
        <v>239</v>
      </c>
      <c r="D51" s="285">
        <v>0.25</v>
      </c>
      <c r="E51" s="288" t="s">
        <v>32</v>
      </c>
      <c r="F51" s="237">
        <v>2</v>
      </c>
      <c r="G51" s="237"/>
      <c r="H51" s="221"/>
      <c r="I51" s="285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179"/>
      <c r="B52" s="180"/>
      <c r="C52" s="180"/>
      <c r="D52" s="180"/>
      <c r="E52" s="180"/>
      <c r="F52" s="180"/>
      <c r="G52" s="180"/>
      <c r="H52" s="169" t="s">
        <v>18</v>
      </c>
      <c r="I52" s="170">
        <f>SUM(I30:I51)</f>
        <v>16.033700000000003</v>
      </c>
      <c r="J52" s="158"/>
      <c r="K52" s="158"/>
      <c r="L52" s="158"/>
      <c r="M52" s="158"/>
      <c r="N52" s="158"/>
      <c r="O52" s="160"/>
    </row>
    <row r="53" spans="1:15" x14ac:dyDescent="0.3">
      <c r="A53" s="164"/>
      <c r="B53" s="158"/>
      <c r="C53" s="158"/>
      <c r="D53" s="158"/>
      <c r="E53" s="158"/>
      <c r="F53" s="158"/>
      <c r="G53" s="158"/>
      <c r="H53" s="158"/>
      <c r="I53" s="158"/>
      <c r="J53" s="158"/>
      <c r="K53" s="158"/>
      <c r="L53" s="158"/>
      <c r="M53" s="158"/>
      <c r="N53" s="158"/>
      <c r="O53" s="160"/>
    </row>
    <row r="54" spans="1:15" x14ac:dyDescent="0.3">
      <c r="A54" s="156" t="s">
        <v>14</v>
      </c>
      <c r="B54" s="156" t="s">
        <v>36</v>
      </c>
      <c r="C54" s="156" t="s">
        <v>20</v>
      </c>
      <c r="D54" s="156" t="s">
        <v>21</v>
      </c>
      <c r="E54" s="156" t="s">
        <v>22</v>
      </c>
      <c r="F54" s="156" t="s">
        <v>23</v>
      </c>
      <c r="G54" s="156" t="s">
        <v>24</v>
      </c>
      <c r="H54" s="156" t="s">
        <v>25</v>
      </c>
      <c r="I54" s="156" t="s">
        <v>17</v>
      </c>
      <c r="J54" s="156" t="s">
        <v>18</v>
      </c>
      <c r="K54" s="158"/>
      <c r="L54" s="158"/>
      <c r="M54" s="158"/>
      <c r="N54" s="158"/>
      <c r="O54" s="160"/>
    </row>
    <row r="55" spans="1:15" x14ac:dyDescent="0.3">
      <c r="A55" s="172">
        <v>10</v>
      </c>
      <c r="B55" s="172" t="s">
        <v>146</v>
      </c>
      <c r="C55" s="172" t="s">
        <v>147</v>
      </c>
      <c r="D55" s="185">
        <f>0.8/105154*E55^2*G55*SQRT(G55)+(0.003*EXP(0.319*E55))</f>
        <v>0.16167651505774214</v>
      </c>
      <c r="E55" s="172">
        <v>8</v>
      </c>
      <c r="F55" s="130" t="s">
        <v>30</v>
      </c>
      <c r="G55" s="186">
        <v>40</v>
      </c>
      <c r="H55" s="183" t="s">
        <v>30</v>
      </c>
      <c r="I55" s="131">
        <v>2</v>
      </c>
      <c r="J55" s="132">
        <f>D55*I55</f>
        <v>0.32335303011548427</v>
      </c>
      <c r="K55" s="158"/>
      <c r="L55" s="158"/>
      <c r="M55" s="158"/>
      <c r="N55" s="158"/>
      <c r="O55" s="160"/>
    </row>
    <row r="56" spans="1:15" x14ac:dyDescent="0.3">
      <c r="A56" s="172">
        <v>20</v>
      </c>
      <c r="B56" s="172" t="s">
        <v>146</v>
      </c>
      <c r="C56" s="172" t="s">
        <v>148</v>
      </c>
      <c r="D56" s="185">
        <f>0.8/105154*E56^2*G56*SQRT(G56)+(0.003*EXP(0.319*E56))</f>
        <v>0.26479118861318168</v>
      </c>
      <c r="E56" s="172">
        <v>8</v>
      </c>
      <c r="F56" s="130" t="s">
        <v>30</v>
      </c>
      <c r="G56" s="186">
        <v>60</v>
      </c>
      <c r="H56" s="183" t="s">
        <v>30</v>
      </c>
      <c r="I56" s="133">
        <v>1</v>
      </c>
      <c r="J56" s="129">
        <f>D56*I56</f>
        <v>0.26479118861318168</v>
      </c>
      <c r="K56" s="158"/>
      <c r="L56" s="158"/>
      <c r="M56" s="158"/>
      <c r="N56" s="158"/>
      <c r="O56" s="160"/>
    </row>
    <row r="57" spans="1:15" x14ac:dyDescent="0.3">
      <c r="A57" s="172">
        <v>30</v>
      </c>
      <c r="B57" s="172" t="s">
        <v>149</v>
      </c>
      <c r="C57" s="172" t="s">
        <v>150</v>
      </c>
      <c r="D57" s="187">
        <f>(0.009*EXP(0.2*E57))</f>
        <v>4.4577291819556032E-2</v>
      </c>
      <c r="E57" s="172">
        <v>8</v>
      </c>
      <c r="F57" s="130" t="s">
        <v>30</v>
      </c>
      <c r="G57" s="172"/>
      <c r="H57" s="183"/>
      <c r="I57" s="133">
        <v>3</v>
      </c>
      <c r="J57" s="129">
        <f>D57*I57</f>
        <v>0.1337318754586681</v>
      </c>
      <c r="K57" s="158"/>
      <c r="L57" s="158"/>
      <c r="M57" s="158"/>
      <c r="N57" s="158"/>
      <c r="O57" s="160"/>
    </row>
    <row r="58" spans="1:15" x14ac:dyDescent="0.3">
      <c r="A58" s="172">
        <v>40</v>
      </c>
      <c r="B58" s="172" t="s">
        <v>151</v>
      </c>
      <c r="C58" s="172" t="s">
        <v>152</v>
      </c>
      <c r="D58" s="172">
        <v>0.01</v>
      </c>
      <c r="E58" s="172">
        <v>8</v>
      </c>
      <c r="F58" s="130" t="s">
        <v>30</v>
      </c>
      <c r="G58" s="172"/>
      <c r="H58" s="183"/>
      <c r="I58" s="133">
        <v>6</v>
      </c>
      <c r="J58" s="129">
        <f>D58*I58</f>
        <v>0.06</v>
      </c>
      <c r="K58" s="188"/>
      <c r="L58" s="188"/>
      <c r="M58" s="188"/>
      <c r="N58" s="188"/>
      <c r="O58" s="160"/>
    </row>
    <row r="59" spans="1:15" x14ac:dyDescent="0.3">
      <c r="A59" s="179"/>
      <c r="B59" s="180"/>
      <c r="C59" s="180"/>
      <c r="D59" s="180"/>
      <c r="E59" s="180"/>
      <c r="F59" s="180"/>
      <c r="G59" s="180"/>
      <c r="H59" s="180"/>
      <c r="I59" s="169" t="s">
        <v>18</v>
      </c>
      <c r="J59" s="170">
        <f>SUM(J55:J58)</f>
        <v>0.78187609418733417</v>
      </c>
      <c r="K59" s="158"/>
      <c r="L59" s="158"/>
      <c r="M59" s="158"/>
      <c r="N59" s="158"/>
      <c r="O59" s="160"/>
    </row>
    <row r="60" spans="1:15" x14ac:dyDescent="0.3">
      <c r="A60" s="164"/>
      <c r="B60" s="158"/>
      <c r="C60" s="158"/>
      <c r="D60" s="158"/>
      <c r="E60" s="158"/>
      <c r="F60" s="158"/>
      <c r="G60" s="158"/>
      <c r="H60" s="158"/>
      <c r="I60" s="158"/>
      <c r="J60" s="158"/>
      <c r="K60" s="158"/>
      <c r="L60" s="158"/>
      <c r="M60" s="158"/>
      <c r="N60" s="158"/>
      <c r="O60" s="160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84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86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189"/>
      <c r="B64" s="190"/>
      <c r="C64" s="190"/>
      <c r="D64" s="190"/>
      <c r="E64" s="190"/>
      <c r="F64" s="190"/>
      <c r="G64" s="190"/>
      <c r="H64" s="190"/>
      <c r="I64" s="190"/>
      <c r="J64" s="190"/>
      <c r="K64" s="190"/>
      <c r="L64" s="190"/>
      <c r="M64" s="190"/>
      <c r="N64" s="190"/>
      <c r="O64" s="191"/>
    </row>
    <row r="65" spans="1:14" x14ac:dyDescent="0.3">
      <c r="A65" s="158"/>
      <c r="B65" s="158"/>
      <c r="C65" s="158"/>
      <c r="D65" s="158"/>
      <c r="E65" s="158"/>
      <c r="F65" s="158"/>
      <c r="G65" s="158"/>
      <c r="H65" s="158"/>
      <c r="I65" s="158"/>
      <c r="J65" s="158"/>
      <c r="K65" s="158"/>
      <c r="L65" s="158"/>
      <c r="M65" s="158"/>
      <c r="N65" s="158"/>
    </row>
  </sheetData>
  <hyperlinks>
    <hyperlink ref="E2" location="SU_A0400_BOM" display="Back to BOM"/>
    <hyperlink ref="B10" location="SU_04001" display="SU_04001"/>
    <hyperlink ref="B11:B13" location="BR_01001" display="BR_01001"/>
    <hyperlink ref="B14" location="SU_04005" display="SU_04005"/>
    <hyperlink ref="B16" location="SU_04007" display="SU_04007"/>
    <hyperlink ref="B11" location="SU_04002" display="SU_04002"/>
    <hyperlink ref="B12" location="SU_04003" display="SU_04003"/>
    <hyperlink ref="B13" location="SU_04004" display="SU_04004"/>
    <hyperlink ref="B15" location="SU_04006" display="SU_04006"/>
    <hyperlink ref="B17" location="SU_04008" display="SU_04008"/>
    <hyperlink ref="B18" location="SU_04009" display="SU_04009"/>
    <hyperlink ref="B19" location="SU_04010" display="SU_04010"/>
    <hyperlink ref="B20" location="SU_04011" display="SU_04011"/>
  </hyperlinks>
  <pageMargins left="0.7" right="0.7" top="0.75" bottom="0.75" header="0.51180555555555496" footer="0.3"/>
  <pageSetup paperSize="9" scale="37" firstPageNumber="0" fitToHeight="0" orientation="portrait" r:id="rId1"/>
  <headerFooter>
    <oddFooter>&amp;C&amp;P</oddFooter>
  </headerFooter>
  <rowBreaks count="1" manualBreakCount="1">
    <brk id="64" max="16383" man="1"/>
  </rowBreaks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4"/>
  <sheetViews>
    <sheetView zoomScale="106" zoomScaleNormal="106" workbookViewId="0">
      <selection activeCell="N4" sqref="N4"/>
    </sheetView>
  </sheetViews>
  <sheetFormatPr baseColWidth="10" defaultColWidth="9.109375" defaultRowHeight="14.4" x14ac:dyDescent="0.3"/>
  <cols>
    <col min="1" max="1" width="9.109375" style="155"/>
    <col min="2" max="2" width="15.88671875" style="155" customWidth="1"/>
    <col min="3" max="3" width="24.5546875" style="155" customWidth="1"/>
    <col min="4" max="6" width="9.109375" style="155"/>
    <col min="7" max="7" width="11.5546875" style="155" customWidth="1"/>
    <col min="8" max="9" width="9.109375" style="155"/>
    <col min="10" max="10" width="12.5546875" style="155" customWidth="1"/>
    <col min="11" max="14" width="9.109375" style="155"/>
    <col min="15" max="15" width="3.109375" style="155" customWidth="1"/>
    <col min="16" max="17" width="9.109375" style="155"/>
    <col min="18" max="19" width="16.33203125" style="155" bestFit="1" customWidth="1"/>
    <col min="20" max="16384" width="9.10937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SU_04001_m+SU_04001_p</f>
        <v>8.9540000000000006</v>
      </c>
      <c r="O2" s="160"/>
    </row>
    <row r="3" spans="1:19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7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9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192" t="s">
        <v>15</v>
      </c>
      <c r="B5" s="163" t="s">
        <v>215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8.9540000000000006</v>
      </c>
      <c r="O5" s="160"/>
    </row>
    <row r="6" spans="1:19" x14ac:dyDescent="0.3">
      <c r="A6" s="192" t="s">
        <v>7</v>
      </c>
      <c r="B6" s="195" t="s">
        <v>318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9" s="22" customFormat="1" ht="17.399999999999999" customHeight="1" x14ac:dyDescent="0.3">
      <c r="A11" s="514">
        <v>10</v>
      </c>
      <c r="B11" s="515" t="s">
        <v>273</v>
      </c>
      <c r="C11" s="514" t="s">
        <v>299</v>
      </c>
      <c r="D11" s="516">
        <v>4.2</v>
      </c>
      <c r="E11" s="517"/>
      <c r="F11" s="514"/>
      <c r="G11" s="514"/>
      <c r="H11" s="518"/>
      <c r="I11" s="324" t="s">
        <v>319</v>
      </c>
      <c r="J11" s="253">
        <f>65*42/1000000</f>
        <v>2.7299999999999998E-3</v>
      </c>
      <c r="K11" s="253">
        <v>1.6E-2</v>
      </c>
      <c r="L11" s="79">
        <v>2712</v>
      </c>
      <c r="M11" s="147">
        <v>1</v>
      </c>
      <c r="N11" s="289">
        <f>D11*M11</f>
        <v>4.2</v>
      </c>
      <c r="O11" s="66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SUM(N11)</f>
        <v>4.2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S13" s="207"/>
    </row>
    <row r="14" spans="1:19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  <c r="R14" s="207"/>
    </row>
    <row r="15" spans="1:19" s="527" customFormat="1" ht="30.6" customHeight="1" x14ac:dyDescent="0.3">
      <c r="A15" s="519">
        <v>10</v>
      </c>
      <c r="B15" s="336" t="s">
        <v>39</v>
      </c>
      <c r="C15" s="520"/>
      <c r="D15" s="521">
        <v>1.3</v>
      </c>
      <c r="E15" s="336" t="s">
        <v>32</v>
      </c>
      <c r="F15" s="520">
        <v>1</v>
      </c>
      <c r="G15" s="520"/>
      <c r="H15" s="520"/>
      <c r="I15" s="522">
        <f t="shared" ref="I15:I22" si="0">IF(H15="",D15*F15,D15*F15*H15)</f>
        <v>1.3</v>
      </c>
      <c r="J15" s="525"/>
      <c r="K15" s="525"/>
      <c r="L15" s="525"/>
      <c r="M15" s="525"/>
      <c r="N15" s="525"/>
      <c r="O15" s="526"/>
    </row>
    <row r="16" spans="1:19" s="527" customFormat="1" ht="29.4" customHeight="1" x14ac:dyDescent="0.3">
      <c r="A16" s="322">
        <v>20</v>
      </c>
      <c r="B16" s="336" t="s">
        <v>159</v>
      </c>
      <c r="C16" s="523" t="s">
        <v>302</v>
      </c>
      <c r="D16" s="305">
        <v>0.04</v>
      </c>
      <c r="E16" s="322" t="s">
        <v>161</v>
      </c>
      <c r="F16" s="294">
        <v>27</v>
      </c>
      <c r="G16" s="336" t="s">
        <v>264</v>
      </c>
      <c r="H16" s="524">
        <v>1</v>
      </c>
      <c r="I16" s="306">
        <f t="shared" si="0"/>
        <v>1.08</v>
      </c>
      <c r="J16" s="528"/>
      <c r="K16" s="528"/>
      <c r="L16" s="528"/>
      <c r="M16" s="528"/>
      <c r="N16" s="528"/>
      <c r="O16" s="529"/>
    </row>
    <row r="17" spans="1:15" s="527" customFormat="1" ht="16.2" customHeight="1" x14ac:dyDescent="0.3">
      <c r="A17" s="519">
        <v>30</v>
      </c>
      <c r="B17" s="336" t="s">
        <v>158</v>
      </c>
      <c r="C17" s="520"/>
      <c r="D17" s="521">
        <v>0.65</v>
      </c>
      <c r="E17" s="336" t="s">
        <v>32</v>
      </c>
      <c r="F17" s="520">
        <v>1</v>
      </c>
      <c r="G17" s="520"/>
      <c r="H17" s="520"/>
      <c r="I17" s="522">
        <f t="shared" si="0"/>
        <v>0.65</v>
      </c>
      <c r="J17" s="530"/>
      <c r="K17" s="530"/>
      <c r="L17" s="530"/>
      <c r="M17" s="530"/>
      <c r="N17" s="530"/>
      <c r="O17" s="531"/>
    </row>
    <row r="18" spans="1:15" s="527" customFormat="1" ht="27" customHeight="1" x14ac:dyDescent="0.3">
      <c r="A18" s="322">
        <v>40</v>
      </c>
      <c r="B18" s="336" t="s">
        <v>159</v>
      </c>
      <c r="C18" s="523" t="s">
        <v>257</v>
      </c>
      <c r="D18" s="305">
        <v>0.04</v>
      </c>
      <c r="E18" s="322" t="s">
        <v>161</v>
      </c>
      <c r="F18" s="294">
        <v>2.2999999999999998</v>
      </c>
      <c r="G18" s="336" t="s">
        <v>264</v>
      </c>
      <c r="H18" s="524">
        <v>1</v>
      </c>
      <c r="I18" s="306">
        <f t="shared" si="0"/>
        <v>9.1999999999999998E-2</v>
      </c>
      <c r="J18" s="528"/>
      <c r="K18" s="528"/>
      <c r="L18" s="528"/>
      <c r="M18" s="528"/>
      <c r="N18" s="528"/>
      <c r="O18" s="529"/>
    </row>
    <row r="19" spans="1:15" s="527" customFormat="1" ht="15.6" customHeight="1" x14ac:dyDescent="0.3">
      <c r="A19" s="519">
        <v>50</v>
      </c>
      <c r="B19" s="336" t="s">
        <v>158</v>
      </c>
      <c r="C19" s="520"/>
      <c r="D19" s="521">
        <v>0.65</v>
      </c>
      <c r="E19" s="336" t="s">
        <v>32</v>
      </c>
      <c r="F19" s="520">
        <v>1</v>
      </c>
      <c r="G19" s="520"/>
      <c r="H19" s="520"/>
      <c r="I19" s="522">
        <f t="shared" si="0"/>
        <v>0.65</v>
      </c>
      <c r="J19" s="528"/>
      <c r="K19" s="528"/>
      <c r="L19" s="528"/>
      <c r="M19" s="528"/>
      <c r="N19" s="528"/>
      <c r="O19" s="529"/>
    </row>
    <row r="20" spans="1:15" s="527" customFormat="1" ht="28.2" customHeight="1" x14ac:dyDescent="0.3">
      <c r="A20" s="322">
        <v>60</v>
      </c>
      <c r="B20" s="336" t="s">
        <v>159</v>
      </c>
      <c r="C20" s="523" t="s">
        <v>258</v>
      </c>
      <c r="D20" s="305">
        <v>0.04</v>
      </c>
      <c r="E20" s="322" t="s">
        <v>161</v>
      </c>
      <c r="F20" s="294">
        <v>2.2999999999999998</v>
      </c>
      <c r="G20" s="336" t="s">
        <v>264</v>
      </c>
      <c r="H20" s="524">
        <v>1</v>
      </c>
      <c r="I20" s="306">
        <f t="shared" si="0"/>
        <v>9.1999999999999998E-2</v>
      </c>
      <c r="J20" s="528"/>
      <c r="K20" s="528"/>
      <c r="L20" s="528"/>
      <c r="M20" s="528"/>
      <c r="N20" s="528"/>
      <c r="O20" s="529"/>
    </row>
    <row r="21" spans="1:15" s="527" customFormat="1" ht="28.8" customHeight="1" x14ac:dyDescent="0.3">
      <c r="A21" s="519">
        <v>70</v>
      </c>
      <c r="B21" s="336" t="s">
        <v>158</v>
      </c>
      <c r="C21" s="520"/>
      <c r="D21" s="521">
        <v>0.65</v>
      </c>
      <c r="E21" s="336" t="s">
        <v>32</v>
      </c>
      <c r="F21" s="520">
        <v>1</v>
      </c>
      <c r="G21" s="520"/>
      <c r="H21" s="520"/>
      <c r="I21" s="522">
        <f t="shared" si="0"/>
        <v>0.65</v>
      </c>
      <c r="J21" s="532"/>
      <c r="K21" s="532"/>
      <c r="L21" s="532"/>
      <c r="M21" s="532"/>
      <c r="N21" s="532"/>
      <c r="O21" s="529"/>
    </row>
    <row r="22" spans="1:15" s="527" customFormat="1" ht="27.6" customHeight="1" x14ac:dyDescent="0.3">
      <c r="A22" s="322">
        <v>80</v>
      </c>
      <c r="B22" s="336" t="s">
        <v>159</v>
      </c>
      <c r="C22" s="523" t="s">
        <v>300</v>
      </c>
      <c r="D22" s="305">
        <v>0.04</v>
      </c>
      <c r="E22" s="322" t="s">
        <v>161</v>
      </c>
      <c r="F22" s="294">
        <v>6</v>
      </c>
      <c r="G22" s="336" t="s">
        <v>264</v>
      </c>
      <c r="H22" s="524">
        <v>1</v>
      </c>
      <c r="I22" s="306">
        <f t="shared" si="0"/>
        <v>0.24</v>
      </c>
      <c r="J22" s="533"/>
      <c r="K22" s="528"/>
      <c r="L22" s="528"/>
      <c r="M22" s="528"/>
      <c r="N22" s="528"/>
      <c r="O22" s="529"/>
    </row>
    <row r="23" spans="1:15" x14ac:dyDescent="0.3">
      <c r="A23" s="179"/>
      <c r="B23" s="180"/>
      <c r="C23" s="180"/>
      <c r="D23" s="180"/>
      <c r="E23" s="180"/>
      <c r="F23" s="180"/>
      <c r="G23" s="180"/>
      <c r="H23" s="214" t="s">
        <v>18</v>
      </c>
      <c r="I23" s="206">
        <f>SUM(I15:I22)</f>
        <v>4.7540000000000004</v>
      </c>
      <c r="J23" s="180"/>
      <c r="K23" s="180"/>
      <c r="L23" s="180"/>
      <c r="M23" s="180"/>
      <c r="N23" s="180"/>
      <c r="O23" s="160"/>
    </row>
    <row r="24" spans="1:15" ht="15" thickBot="1" x14ac:dyDescent="0.35">
      <c r="A24" s="189"/>
      <c r="B24" s="190"/>
      <c r="C24" s="190"/>
      <c r="D24" s="190"/>
      <c r="E24" s="190"/>
      <c r="F24" s="190"/>
      <c r="G24" s="190"/>
      <c r="H24" s="190"/>
      <c r="I24" s="190"/>
      <c r="J24" s="190"/>
      <c r="K24" s="190"/>
      <c r="L24" s="190"/>
      <c r="M24" s="190"/>
      <c r="N24" s="190"/>
      <c r="O24" s="191"/>
    </row>
  </sheetData>
  <hyperlinks>
    <hyperlink ref="B4" location="SU_A0400" display="Lower Back A-arm"/>
    <hyperlink ref="E3" location="dSU_04001" display="Drawing"/>
    <hyperlink ref="G2" location="SU_A0400_BOM" display="Back to BOM"/>
  </hyperlinks>
  <pageMargins left="0.78749999999999998" right="0.78749999999999998" top="1.05277777777778" bottom="1.05277777777778" header="0.78749999999999998" footer="0.78749999999999998"/>
  <pageSetup paperSize="9" scale="54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4" max="16383" man="1"/>
    <brk id="58" max="16383" man="1"/>
  </rowBreaks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workbookViewId="0">
      <selection activeCell="B1" sqref="B1"/>
    </sheetView>
  </sheetViews>
  <sheetFormatPr baseColWidth="10" defaultColWidth="11.44140625" defaultRowHeight="14.4" x14ac:dyDescent="0.3"/>
  <cols>
    <col min="1" max="1" width="14" style="155" customWidth="1"/>
    <col min="2" max="16384" width="11.44140625" style="155"/>
  </cols>
  <sheetData>
    <row r="1" spans="1:2" x14ac:dyDescent="0.3">
      <c r="A1" s="155" t="s">
        <v>170</v>
      </c>
      <c r="B1" s="287" t="s">
        <v>216</v>
      </c>
    </row>
  </sheetData>
  <hyperlinks>
    <hyperlink ref="B1" location="SU_04001" display="SU_04001"/>
  </hyperlinks>
  <pageMargins left="0.7" right="0.7" top="0.75" bottom="0.75" header="0.3" footer="0.3"/>
  <pageSetup paperSize="9" scale="68" fitToHeight="0" orientation="portrait" r:id="rId1"/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S22"/>
  <sheetViews>
    <sheetView zoomScale="106" zoomScaleNormal="106" workbookViewId="0">
      <selection activeCell="N4" sqref="N4"/>
    </sheetView>
  </sheetViews>
  <sheetFormatPr baseColWidth="10" defaultColWidth="11.44140625" defaultRowHeight="14.4" x14ac:dyDescent="0.3"/>
  <cols>
    <col min="1" max="1" width="11.44140625" style="155"/>
    <col min="2" max="2" width="23.109375" style="155" customWidth="1"/>
    <col min="3" max="6" width="11.44140625" style="155"/>
    <col min="7" max="7" width="13.33203125" style="155" customWidth="1"/>
    <col min="8" max="8" width="11.44140625" style="155"/>
    <col min="9" max="9" width="21.44140625" style="155" customWidth="1"/>
    <col min="10" max="17" width="11.44140625" style="155"/>
    <col min="18" max="18" width="13.88671875" style="155" bestFit="1" customWidth="1"/>
    <col min="19" max="16384" width="11.4414062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N12+I21</f>
        <v>3.3353805440000004</v>
      </c>
      <c r="O2" s="160"/>
    </row>
    <row r="3" spans="1:19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7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9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192" t="s">
        <v>15</v>
      </c>
      <c r="B5" s="73" t="s">
        <v>157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6.6707610880000008</v>
      </c>
      <c r="O5" s="160"/>
    </row>
    <row r="6" spans="1:19" x14ac:dyDescent="0.3">
      <c r="A6" s="192" t="s">
        <v>7</v>
      </c>
      <c r="B6" s="195" t="s">
        <v>217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customFormat="1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customFormat="1" x14ac:dyDescent="0.3">
      <c r="A11" s="85">
        <v>10</v>
      </c>
      <c r="B11" s="26" t="s">
        <v>132</v>
      </c>
      <c r="C11" s="20" t="s">
        <v>38</v>
      </c>
      <c r="D11" s="289">
        <f>4.2</f>
        <v>4.2</v>
      </c>
      <c r="E11" s="263">
        <f>J11*K11*L11</f>
        <v>0.20437632</v>
      </c>
      <c r="F11" s="20" t="s">
        <v>162</v>
      </c>
      <c r="G11" s="20"/>
      <c r="H11" s="290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289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0.85838054400000008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R13" s="207">
        <f>J11*K11/4</f>
        <v>1.8839999999999999E-5</v>
      </c>
      <c r="S13" s="207"/>
    </row>
    <row r="14" spans="1:19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  <c r="R14" s="207">
        <f>R13/2</f>
        <v>9.4199999999999996E-6</v>
      </c>
    </row>
    <row r="15" spans="1:19" customFormat="1" ht="26.4" customHeight="1" x14ac:dyDescent="0.3">
      <c r="A15" s="338">
        <v>10</v>
      </c>
      <c r="B15" s="339" t="s">
        <v>39</v>
      </c>
      <c r="C15" s="338"/>
      <c r="D15" s="340">
        <v>1.3</v>
      </c>
      <c r="E15" s="339" t="s">
        <v>32</v>
      </c>
      <c r="F15" s="338">
        <v>1</v>
      </c>
      <c r="G15" s="338" t="s">
        <v>295</v>
      </c>
      <c r="H15" s="338">
        <v>0.5</v>
      </c>
      <c r="I15" s="341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customFormat="1" ht="28.2" customHeight="1" x14ac:dyDescent="0.3">
      <c r="A16" s="342">
        <v>20</v>
      </c>
      <c r="B16" s="339" t="s">
        <v>159</v>
      </c>
      <c r="C16" s="343" t="s">
        <v>263</v>
      </c>
      <c r="D16" s="344">
        <v>0.04</v>
      </c>
      <c r="E16" s="342" t="s">
        <v>161</v>
      </c>
      <c r="F16" s="345">
        <v>17</v>
      </c>
      <c r="G16" s="339" t="s">
        <v>321</v>
      </c>
      <c r="H16" s="237">
        <v>1</v>
      </c>
      <c r="I16" s="346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customFormat="1" ht="25.8" customHeight="1" x14ac:dyDescent="0.3">
      <c r="A17" s="338">
        <v>30</v>
      </c>
      <c r="B17" s="339" t="s">
        <v>158</v>
      </c>
      <c r="C17" s="338"/>
      <c r="D17" s="340">
        <v>0.65</v>
      </c>
      <c r="E17" s="339" t="s">
        <v>32</v>
      </c>
      <c r="F17" s="338">
        <v>1</v>
      </c>
      <c r="G17" s="338" t="s">
        <v>295</v>
      </c>
      <c r="H17" s="338">
        <v>0.5</v>
      </c>
      <c r="I17" s="341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customFormat="1" ht="15.6" customHeight="1" x14ac:dyDescent="0.3">
      <c r="A18" s="342">
        <v>40</v>
      </c>
      <c r="B18" s="339" t="s">
        <v>159</v>
      </c>
      <c r="C18" s="343" t="s">
        <v>265</v>
      </c>
      <c r="D18" s="344">
        <v>0.04</v>
      </c>
      <c r="E18" s="342" t="s">
        <v>161</v>
      </c>
      <c r="F18" s="345">
        <v>2</v>
      </c>
      <c r="G18" s="339" t="s">
        <v>264</v>
      </c>
      <c r="H18" s="237">
        <v>1</v>
      </c>
      <c r="I18" s="346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customFormat="1" x14ac:dyDescent="0.3">
      <c r="A19" s="338">
        <v>50</v>
      </c>
      <c r="B19" s="339" t="s">
        <v>158</v>
      </c>
      <c r="C19" s="338"/>
      <c r="D19" s="340">
        <v>0.65</v>
      </c>
      <c r="E19" s="339" t="s">
        <v>32</v>
      </c>
      <c r="F19" s="338">
        <v>1</v>
      </c>
      <c r="G19" s="338"/>
      <c r="H19" s="338"/>
      <c r="I19" s="341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customFormat="1" ht="14.4" customHeight="1" x14ac:dyDescent="0.3">
      <c r="A20" s="342">
        <v>60</v>
      </c>
      <c r="B20" s="339" t="s">
        <v>159</v>
      </c>
      <c r="C20" s="343" t="s">
        <v>266</v>
      </c>
      <c r="D20" s="344">
        <v>0.04</v>
      </c>
      <c r="E20" s="342" t="s">
        <v>161</v>
      </c>
      <c r="F20" s="345">
        <v>2.2999999999999998</v>
      </c>
      <c r="G20" s="339" t="s">
        <v>320</v>
      </c>
      <c r="H20" s="237">
        <v>1</v>
      </c>
      <c r="I20" s="346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179"/>
      <c r="B21" s="180"/>
      <c r="C21" s="180"/>
      <c r="D21" s="180"/>
      <c r="E21" s="180"/>
      <c r="F21" s="180"/>
      <c r="G21" s="180"/>
      <c r="H21" s="214" t="s">
        <v>18</v>
      </c>
      <c r="I21" s="206">
        <f>SUM(I15:I20)</f>
        <v>2.4770000000000003</v>
      </c>
      <c r="J21" s="180"/>
      <c r="K21" s="180"/>
      <c r="L21" s="180"/>
      <c r="M21" s="180"/>
      <c r="N21" s="180"/>
      <c r="O21" s="160"/>
    </row>
    <row r="22" spans="1:19" ht="15" thickBot="1" x14ac:dyDescent="0.35">
      <c r="A22" s="189"/>
      <c r="B22" s="190"/>
      <c r="C22" s="190"/>
      <c r="D22" s="190"/>
      <c r="E22" s="190"/>
      <c r="F22" s="190"/>
      <c r="G22" s="190"/>
      <c r="H22" s="190"/>
      <c r="I22" s="190"/>
      <c r="J22" s="190"/>
      <c r="K22" s="190"/>
      <c r="L22" s="190"/>
      <c r="M22" s="190"/>
      <c r="N22" s="190"/>
      <c r="O22" s="191"/>
    </row>
  </sheetData>
  <hyperlinks>
    <hyperlink ref="E3" location="dSU_04002" display="Drawing"/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6"/>
  <sheetViews>
    <sheetView workbookViewId="0">
      <selection activeCell="B1" sqref="B1"/>
    </sheetView>
  </sheetViews>
  <sheetFormatPr baseColWidth="10" defaultRowHeight="14.4" x14ac:dyDescent="0.3"/>
  <cols>
    <col min="1" max="1" width="18.88671875" customWidth="1"/>
  </cols>
  <sheetData>
    <row r="1" spans="1:2" x14ac:dyDescent="0.3">
      <c r="A1" t="s">
        <v>170</v>
      </c>
      <c r="B1" s="89" t="s">
        <v>171</v>
      </c>
    </row>
    <row r="6" spans="1:2" x14ac:dyDescent="0.3">
      <c r="B6" s="138"/>
    </row>
  </sheetData>
  <hyperlinks>
    <hyperlink ref="B1" location="SU_01002" display="SU_01002"/>
  </hyperlinks>
  <pageMargins left="0.7" right="0.7" top="0.75" bottom="0.75" header="0.3" footer="0.3"/>
  <pageSetup paperSize="9" orientation="portrait" r:id="rId1"/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6"/>
  <sheetViews>
    <sheetView zoomScale="106" zoomScaleNormal="106" workbookViewId="0">
      <selection activeCell="B1" sqref="B1"/>
    </sheetView>
  </sheetViews>
  <sheetFormatPr baseColWidth="10" defaultColWidth="11.44140625" defaultRowHeight="14.4" x14ac:dyDescent="0.3"/>
  <cols>
    <col min="1" max="1" width="18.88671875" style="155" customWidth="1"/>
    <col min="2" max="16384" width="11.44140625" style="155"/>
  </cols>
  <sheetData>
    <row r="1" spans="1:2" x14ac:dyDescent="0.3">
      <c r="A1" s="155" t="s">
        <v>170</v>
      </c>
      <c r="B1" s="287" t="s">
        <v>217</v>
      </c>
    </row>
    <row r="4" spans="1:2" x14ac:dyDescent="0.3">
      <c r="B4" s="155" t="s">
        <v>176</v>
      </c>
    </row>
    <row r="5" spans="1:2" x14ac:dyDescent="0.3">
      <c r="B5" s="155" t="s">
        <v>177</v>
      </c>
    </row>
    <row r="6" spans="1:2" x14ac:dyDescent="0.3">
      <c r="B6" s="219"/>
    </row>
  </sheetData>
  <hyperlinks>
    <hyperlink ref="B1" location="SU_04002" display="SU_04002"/>
  </hyperlinks>
  <pageMargins left="0.7" right="0.7" top="0.75" bottom="0.75" header="0.3" footer="0.3"/>
  <pageSetup paperSize="9" orientation="portrait" r:id="rId1"/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90" zoomScaleNormal="90" workbookViewId="0">
      <selection activeCell="N4" sqref="N4"/>
    </sheetView>
  </sheetViews>
  <sheetFormatPr baseColWidth="10" defaultColWidth="11.44140625" defaultRowHeight="14.4" x14ac:dyDescent="0.3"/>
  <cols>
    <col min="1" max="1" width="11.44140625" style="155"/>
    <col min="2" max="2" width="20.6640625" style="155" customWidth="1"/>
    <col min="3" max="3" width="33" style="155" customWidth="1"/>
    <col min="4" max="4" width="11.44140625" style="155"/>
    <col min="5" max="5" width="17" style="155" customWidth="1"/>
    <col min="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12.033390599999997</v>
      </c>
      <c r="O2" s="160"/>
    </row>
    <row r="3" spans="1:15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5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192" t="s">
        <v>15</v>
      </c>
      <c r="B5" s="73" t="s">
        <v>218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12.033390599999997</v>
      </c>
      <c r="O5" s="160"/>
    </row>
    <row r="6" spans="1:15" x14ac:dyDescent="0.3">
      <c r="A6" s="192" t="s">
        <v>7</v>
      </c>
      <c r="B6" s="195" t="s">
        <v>219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10.696347199999998</v>
      </c>
      <c r="E11" s="21">
        <f>J11*K11</f>
        <v>3.3849199999999994E-5</v>
      </c>
      <c r="F11" s="20" t="s">
        <v>190</v>
      </c>
      <c r="G11" s="20"/>
      <c r="H11" s="290"/>
      <c r="I11" s="21" t="s">
        <v>164</v>
      </c>
      <c r="J11" s="253">
        <f>3.14*(0.008*0.008-0.006*0.006)</f>
        <v>8.7919999999999985E-5</v>
      </c>
      <c r="K11" s="78">
        <v>0.38500000000000001</v>
      </c>
      <c r="L11" s="79">
        <v>1580</v>
      </c>
      <c r="M11" s="147">
        <v>1</v>
      </c>
      <c r="N11" s="289">
        <f>D11*M11</f>
        <v>10.696347199999998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SUM(N11)</f>
        <v>10.696347199999998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ht="29.4" customHeight="1" x14ac:dyDescent="0.3">
      <c r="A15" s="145">
        <v>10</v>
      </c>
      <c r="B15" s="145" t="s">
        <v>210</v>
      </c>
      <c r="C15" s="145" t="s">
        <v>211</v>
      </c>
      <c r="D15" s="285">
        <v>25</v>
      </c>
      <c r="E15" s="288" t="s">
        <v>212</v>
      </c>
      <c r="F15" s="225">
        <f>J11*K11*L11</f>
        <v>5.3481735999999988E-2</v>
      </c>
      <c r="G15" s="221"/>
      <c r="H15" s="221"/>
      <c r="I15" s="224">
        <f>IF(H15="",D15*F15,D15*F15*H15)</f>
        <v>1.3370433999999998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1.3370433999999998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topLeftCell="A4" zoomScale="80" zoomScaleNormal="80" workbookViewId="0">
      <selection activeCell="N4" sqref="N4"/>
    </sheetView>
  </sheetViews>
  <sheetFormatPr baseColWidth="10" defaultColWidth="11.44140625" defaultRowHeight="14.4" x14ac:dyDescent="0.3"/>
  <cols>
    <col min="1" max="1" width="11.44140625" style="155"/>
    <col min="2" max="2" width="28.33203125" style="155" customWidth="1"/>
    <col min="3" max="3" width="46.6640625" style="155" customWidth="1"/>
    <col min="4" max="4" width="11.44140625" style="155"/>
    <col min="5" max="5" width="18.33203125" style="155" customWidth="1"/>
    <col min="6" max="10" width="11.44140625" style="155"/>
    <col min="11" max="11" width="9.109375" style="155" customWidth="1"/>
    <col min="12" max="12" width="7.88671875" style="155" customWidth="1"/>
    <col min="13" max="14" width="11.44140625" style="155"/>
    <col min="15" max="15" width="5" style="155" customWidth="1"/>
    <col min="1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7.4075677199999985</v>
      </c>
      <c r="O2" s="160"/>
    </row>
    <row r="3" spans="1:15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5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215" t="s">
        <v>15</v>
      </c>
      <c r="B5" s="216" t="s">
        <v>220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7.4075677199999985</v>
      </c>
      <c r="O5" s="160"/>
    </row>
    <row r="6" spans="1:15" x14ac:dyDescent="0.3">
      <c r="A6" s="192" t="s">
        <v>7</v>
      </c>
      <c r="B6" s="195" t="s">
        <v>221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6.5845046399999987</v>
      </c>
      <c r="E11" s="21">
        <f>J11*K11</f>
        <v>2.0837039999999997E-5</v>
      </c>
      <c r="F11" s="20" t="s">
        <v>190</v>
      </c>
      <c r="G11" s="20"/>
      <c r="H11" s="290"/>
      <c r="I11" s="21" t="s">
        <v>164</v>
      </c>
      <c r="J11" s="253">
        <f>3.14*(0.008*0.008-0.006*0.006)</f>
        <v>8.7919999999999985E-5</v>
      </c>
      <c r="K11" s="78">
        <v>0.23699999999999999</v>
      </c>
      <c r="L11" s="79">
        <v>1580</v>
      </c>
      <c r="M11" s="147">
        <v>1</v>
      </c>
      <c r="N11" s="289">
        <f>D11*M11</f>
        <v>6.5845046399999987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SUM(N11)</f>
        <v>6.5845046399999987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ht="16.8" customHeight="1" x14ac:dyDescent="0.3">
      <c r="A15" s="145">
        <v>10</v>
      </c>
      <c r="B15" s="145" t="s">
        <v>210</v>
      </c>
      <c r="C15" s="145" t="s">
        <v>211</v>
      </c>
      <c r="D15" s="285">
        <v>25</v>
      </c>
      <c r="E15" s="288" t="s">
        <v>212</v>
      </c>
      <c r="F15" s="225">
        <f>J11*K11*L11</f>
        <v>3.2922523199999998E-2</v>
      </c>
      <c r="G15" s="221"/>
      <c r="H15" s="221"/>
      <c r="I15" s="224">
        <f>IF(H15="",D15*F15,D15*F15*H15)</f>
        <v>0.82306307999999995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0.82306307999999995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22"/>
  <sheetViews>
    <sheetView zoomScale="90" zoomScaleNormal="90" workbookViewId="0">
      <selection activeCell="N4" sqref="N4"/>
    </sheetView>
  </sheetViews>
  <sheetFormatPr baseColWidth="10" defaultColWidth="11.44140625" defaultRowHeight="14.4" x14ac:dyDescent="0.3"/>
  <cols>
    <col min="1" max="1" width="11.44140625" style="155"/>
    <col min="2" max="2" width="25.109375" style="155" customWidth="1"/>
    <col min="3" max="3" width="30.5546875" style="155" customWidth="1"/>
    <col min="4" max="8" width="11.44140625" style="155"/>
    <col min="9" max="9" width="14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7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N12+I21</f>
        <v>2.6676857568000001</v>
      </c>
      <c r="O2" s="160"/>
    </row>
    <row r="3" spans="1:17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7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7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7" x14ac:dyDescent="0.3">
      <c r="A5" s="192" t="s">
        <v>15</v>
      </c>
      <c r="B5" s="163" t="s">
        <v>193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5.3353715136000002</v>
      </c>
      <c r="O5" s="160"/>
    </row>
    <row r="6" spans="1:17" x14ac:dyDescent="0.3">
      <c r="A6" s="192" t="s">
        <v>7</v>
      </c>
      <c r="B6" s="195" t="s">
        <v>222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7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7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7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7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7" x14ac:dyDescent="0.3">
      <c r="A11" s="201">
        <v>10</v>
      </c>
      <c r="B11" s="202" t="s">
        <v>166</v>
      </c>
      <c r="C11" s="203" t="s">
        <v>38</v>
      </c>
      <c r="D11" s="30">
        <v>2.25</v>
      </c>
      <c r="E11" s="217">
        <f>J11*K11*L11/1000000000</f>
        <v>1.2304780800000002E-2</v>
      </c>
      <c r="F11" s="203" t="s">
        <v>162</v>
      </c>
      <c r="G11" s="203"/>
      <c r="H11" s="19"/>
      <c r="I11" s="204" t="s">
        <v>165</v>
      </c>
      <c r="J11" s="97">
        <f>3.14*8*8</f>
        <v>200.96</v>
      </c>
      <c r="K11" s="78">
        <v>7.8</v>
      </c>
      <c r="L11" s="176">
        <v>7850</v>
      </c>
      <c r="M11" s="23">
        <v>1</v>
      </c>
      <c r="N11" s="30">
        <f>D11*E11</f>
        <v>2.7685756800000003E-2</v>
      </c>
      <c r="O11" s="177"/>
      <c r="Q11" s="207"/>
    </row>
    <row r="12" spans="1:17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2.7685756800000003E-2</v>
      </c>
      <c r="O12" s="160"/>
    </row>
    <row r="13" spans="1:17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7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7" ht="28.8" x14ac:dyDescent="0.3">
      <c r="A15" s="209">
        <v>10</v>
      </c>
      <c r="B15" s="27" t="s">
        <v>39</v>
      </c>
      <c r="C15" s="210" t="s">
        <v>134</v>
      </c>
      <c r="D15" s="32">
        <v>1.3</v>
      </c>
      <c r="E15" s="27" t="s">
        <v>35</v>
      </c>
      <c r="F15" s="210">
        <v>1</v>
      </c>
      <c r="G15" s="210"/>
      <c r="H15" s="210"/>
      <c r="I15" s="32">
        <f t="shared" ref="I15:I20" si="0">IF(H15="",D15*F15,D15*F15*H15)</f>
        <v>1.3</v>
      </c>
      <c r="J15" s="188"/>
      <c r="K15" s="188"/>
      <c r="L15" s="188"/>
      <c r="M15" s="188"/>
      <c r="N15" s="188"/>
      <c r="O15" s="181"/>
    </row>
    <row r="16" spans="1:17" x14ac:dyDescent="0.3">
      <c r="A16" s="211">
        <v>20</v>
      </c>
      <c r="B16" s="134" t="s">
        <v>159</v>
      </c>
      <c r="C16" s="212" t="s">
        <v>167</v>
      </c>
      <c r="D16" s="30">
        <v>0.04</v>
      </c>
      <c r="E16" s="27" t="s">
        <v>161</v>
      </c>
      <c r="F16" s="218">
        <v>0.4</v>
      </c>
      <c r="G16" s="27"/>
      <c r="H16" s="202"/>
      <c r="I16" s="30">
        <f t="shared" si="0"/>
        <v>1.6E-2</v>
      </c>
      <c r="J16" s="158"/>
      <c r="K16" s="158"/>
      <c r="L16" s="158"/>
      <c r="M16" s="158"/>
      <c r="N16" s="158"/>
      <c r="O16" s="160"/>
    </row>
    <row r="17" spans="1:15" x14ac:dyDescent="0.3">
      <c r="A17" s="213">
        <v>30</v>
      </c>
      <c r="B17" s="134" t="s">
        <v>158</v>
      </c>
      <c r="C17" s="202" t="s">
        <v>160</v>
      </c>
      <c r="D17" s="30">
        <v>0.65</v>
      </c>
      <c r="E17" s="27" t="s">
        <v>35</v>
      </c>
      <c r="F17" s="202">
        <v>1</v>
      </c>
      <c r="G17" s="202"/>
      <c r="H17" s="202"/>
      <c r="I17" s="30">
        <f t="shared" si="0"/>
        <v>0.65</v>
      </c>
      <c r="J17" s="161"/>
      <c r="K17" s="161"/>
      <c r="L17" s="161"/>
      <c r="M17" s="161"/>
      <c r="N17" s="161"/>
      <c r="O17" s="168"/>
    </row>
    <row r="18" spans="1:15" x14ac:dyDescent="0.3">
      <c r="A18" s="211">
        <v>40</v>
      </c>
      <c r="B18" s="134" t="s">
        <v>159</v>
      </c>
      <c r="C18" s="212" t="s">
        <v>169</v>
      </c>
      <c r="D18" s="30">
        <v>0.04</v>
      </c>
      <c r="E18" s="27" t="s">
        <v>161</v>
      </c>
      <c r="F18" s="218">
        <v>0.56000000000000005</v>
      </c>
      <c r="G18" s="27"/>
      <c r="H18" s="202"/>
      <c r="I18" s="30">
        <f t="shared" si="0"/>
        <v>2.2400000000000003E-2</v>
      </c>
      <c r="J18" s="158"/>
      <c r="K18" s="158"/>
      <c r="L18" s="158"/>
      <c r="M18" s="158"/>
      <c r="N18" s="158"/>
      <c r="O18" s="160"/>
    </row>
    <row r="19" spans="1:15" x14ac:dyDescent="0.3">
      <c r="A19" s="213">
        <v>50</v>
      </c>
      <c r="B19" s="134" t="s">
        <v>158</v>
      </c>
      <c r="C19" s="202" t="s">
        <v>160</v>
      </c>
      <c r="D19" s="30">
        <v>0.65</v>
      </c>
      <c r="E19" s="27" t="s">
        <v>35</v>
      </c>
      <c r="F19" s="202">
        <v>1</v>
      </c>
      <c r="G19" s="202"/>
      <c r="H19" s="202"/>
      <c r="I19" s="30">
        <f t="shared" si="0"/>
        <v>0.65</v>
      </c>
      <c r="J19" s="158"/>
      <c r="K19" s="158"/>
      <c r="L19" s="158"/>
      <c r="M19" s="158"/>
      <c r="N19" s="158"/>
      <c r="O19" s="160"/>
    </row>
    <row r="20" spans="1:15" x14ac:dyDescent="0.3">
      <c r="A20" s="213">
        <v>60</v>
      </c>
      <c r="B20" s="134" t="s">
        <v>159</v>
      </c>
      <c r="C20" s="212" t="s">
        <v>168</v>
      </c>
      <c r="D20" s="30">
        <v>0.04</v>
      </c>
      <c r="E20" s="27" t="s">
        <v>161</v>
      </c>
      <c r="F20" s="202">
        <v>0.04</v>
      </c>
      <c r="G20" s="202"/>
      <c r="H20" s="202"/>
      <c r="I20" s="30">
        <f t="shared" si="0"/>
        <v>1.6000000000000001E-3</v>
      </c>
      <c r="J20" s="158"/>
      <c r="K20" s="158"/>
      <c r="L20" s="158"/>
      <c r="M20" s="158"/>
      <c r="N20" s="158"/>
      <c r="O20" s="160"/>
    </row>
    <row r="21" spans="1:15" x14ac:dyDescent="0.3">
      <c r="A21" s="179"/>
      <c r="B21" s="180"/>
      <c r="C21" s="180"/>
      <c r="D21" s="180"/>
      <c r="E21" s="180"/>
      <c r="F21" s="180"/>
      <c r="G21" s="180"/>
      <c r="H21" s="214" t="s">
        <v>18</v>
      </c>
      <c r="I21" s="206">
        <f>SUM(I15:I20)</f>
        <v>2.64</v>
      </c>
      <c r="J21" s="180"/>
      <c r="K21" s="180"/>
      <c r="L21" s="180"/>
      <c r="M21" s="180"/>
      <c r="N21" s="180"/>
      <c r="O21" s="160"/>
    </row>
    <row r="22" spans="1:15" ht="15" thickBot="1" x14ac:dyDescent="0.35">
      <c r="A22" s="189"/>
      <c r="B22" s="190"/>
      <c r="C22" s="190"/>
      <c r="D22" s="190"/>
      <c r="E22" s="190"/>
      <c r="F22" s="190"/>
      <c r="G22" s="190"/>
      <c r="H22" s="190"/>
      <c r="I22" s="190"/>
      <c r="J22" s="190"/>
      <c r="K22" s="190"/>
      <c r="L22" s="190"/>
      <c r="M22" s="190"/>
      <c r="N22" s="190"/>
      <c r="O22" s="191"/>
    </row>
  </sheetData>
  <hyperlinks>
    <hyperlink ref="E3" location="dSU_04005" display="Drawing"/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>
      <selection activeCell="A3" sqref="A3"/>
    </sheetView>
  </sheetViews>
  <sheetFormatPr baseColWidth="10" defaultColWidth="11.44140625" defaultRowHeight="14.4" x14ac:dyDescent="0.3"/>
  <cols>
    <col min="1" max="1" width="22.5546875" style="155" customWidth="1"/>
    <col min="2" max="16384" width="11.44140625" style="155"/>
  </cols>
  <sheetData>
    <row r="1" spans="1:2" x14ac:dyDescent="0.3">
      <c r="A1" s="155" t="s">
        <v>170</v>
      </c>
      <c r="B1" s="287" t="s">
        <v>222</v>
      </c>
    </row>
  </sheetData>
  <hyperlinks>
    <hyperlink ref="B1" location="SU_04005" display="SU_04005"/>
  </hyperlinks>
  <pageMargins left="0.7" right="0.7" top="0.75" bottom="0.75" header="0.3" footer="0.3"/>
  <pageSetup paperSize="9" orientation="portrait" r:id="rId1"/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9"/>
  <sheetViews>
    <sheetView workbookViewId="0">
      <selection activeCell="N3" sqref="N3"/>
    </sheetView>
  </sheetViews>
  <sheetFormatPr baseColWidth="10" defaultRowHeight="14.4" x14ac:dyDescent="0.3"/>
  <cols>
    <col min="2" max="2" width="22.109375" customWidth="1"/>
    <col min="3" max="3" width="16.5546875" customWidth="1"/>
    <col min="13" max="13" width="13.6640625" customWidth="1"/>
  </cols>
  <sheetData>
    <row r="1" spans="1:15" x14ac:dyDescent="0.3">
      <c r="A1" s="152"/>
      <c r="B1" s="153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92" t="s">
        <v>0</v>
      </c>
      <c r="B2" s="157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N12+I18</f>
        <v>1.1551782399999999</v>
      </c>
      <c r="O2" s="62"/>
    </row>
    <row r="3" spans="1:15" x14ac:dyDescent="0.3">
      <c r="A3" s="192" t="s">
        <v>3</v>
      </c>
      <c r="B3" s="157" t="str">
        <f>'SU A0400'!B3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4</v>
      </c>
      <c r="O3" s="62"/>
    </row>
    <row r="4" spans="1:15" x14ac:dyDescent="0.3">
      <c r="A4" s="192" t="s">
        <v>5</v>
      </c>
      <c r="B4" s="88" t="s">
        <v>213</v>
      </c>
      <c r="C4" s="56"/>
      <c r="D4" s="102" t="s">
        <v>8</v>
      </c>
      <c r="E4" s="56"/>
      <c r="F4" s="56"/>
      <c r="G4" s="56"/>
      <c r="H4" s="56"/>
      <c r="I4" s="56"/>
      <c r="J4" s="644" t="s">
        <v>6</v>
      </c>
      <c r="K4" s="56"/>
      <c r="L4" s="56"/>
      <c r="M4" s="56"/>
      <c r="N4" s="56"/>
      <c r="O4" s="62"/>
    </row>
    <row r="5" spans="1:15" x14ac:dyDescent="0.3">
      <c r="A5" s="192" t="s">
        <v>15</v>
      </c>
      <c r="B5" s="163" t="s">
        <v>192</v>
      </c>
      <c r="C5" s="56"/>
      <c r="D5" s="102" t="s">
        <v>12</v>
      </c>
      <c r="E5" s="56"/>
      <c r="F5" s="56"/>
      <c r="G5" s="56"/>
      <c r="H5" s="56"/>
      <c r="I5" s="56"/>
      <c r="J5" s="644" t="s">
        <v>8</v>
      </c>
      <c r="K5" s="56"/>
      <c r="L5" s="56"/>
      <c r="M5" s="102" t="s">
        <v>9</v>
      </c>
      <c r="N5" s="74">
        <f>N3*N2</f>
        <v>4.6207129599999996</v>
      </c>
      <c r="O5" s="62"/>
    </row>
    <row r="6" spans="1:15" x14ac:dyDescent="0.3">
      <c r="A6" s="192" t="s">
        <v>7</v>
      </c>
      <c r="B6" s="195" t="s">
        <v>223</v>
      </c>
      <c r="C6" s="56"/>
      <c r="D6" s="56"/>
      <c r="E6" s="56"/>
      <c r="F6" s="56"/>
      <c r="G6" s="56"/>
      <c r="H6" s="56"/>
      <c r="I6" s="56"/>
      <c r="J6" s="644" t="s">
        <v>12</v>
      </c>
      <c r="K6" s="56"/>
      <c r="L6" s="56"/>
      <c r="M6" s="56"/>
      <c r="N6" s="56"/>
      <c r="O6" s="62"/>
    </row>
    <row r="7" spans="1:15" x14ac:dyDescent="0.3">
      <c r="A7" s="192" t="s">
        <v>10</v>
      </c>
      <c r="B7" s="157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92" t="s">
        <v>13</v>
      </c>
      <c r="B8" s="157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322">
        <v>10</v>
      </c>
      <c r="B11" s="523" t="s">
        <v>278</v>
      </c>
      <c r="C11" s="573"/>
      <c r="D11" s="574">
        <v>2.25</v>
      </c>
      <c r="E11" s="374">
        <f>J11*K11*L11</f>
        <v>6.3101440000000009E-2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401">
        <v>0.04</v>
      </c>
      <c r="L11" s="377">
        <v>7850</v>
      </c>
      <c r="M11" s="378">
        <v>1</v>
      </c>
      <c r="N11" s="379">
        <f>D11*E11*M11</f>
        <v>0.14197824000000003</v>
      </c>
      <c r="O11" s="380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0.14197824000000003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ht="29.4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5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0.11</v>
      </c>
      <c r="G16" s="397" t="s">
        <v>268</v>
      </c>
      <c r="H16" s="397">
        <v>3</v>
      </c>
      <c r="I16" s="346">
        <f>IF(H16="",D16*F16,D16*F16*H16)</f>
        <v>1.32E-2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67"/>
      <c r="B18" s="24"/>
      <c r="C18" s="24"/>
      <c r="D18" s="24"/>
      <c r="E18" s="24"/>
      <c r="F18" s="24"/>
      <c r="G18" s="24"/>
      <c r="H18" s="111" t="s">
        <v>18</v>
      </c>
      <c r="I18" s="109">
        <f>SUM(I15:I17)</f>
        <v>1.0131999999999999</v>
      </c>
      <c r="J18" s="24"/>
      <c r="K18" s="24"/>
      <c r="L18" s="24"/>
      <c r="M18" s="24"/>
      <c r="N18" s="24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02005" display="Drawing"/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223</v>
      </c>
    </row>
  </sheetData>
  <hyperlinks>
    <hyperlink ref="B1" location="SU_04006" display="SU_04006"/>
  </hyperlinks>
  <pageMargins left="0.7" right="0.7" top="0.75" bottom="0.75" header="0.3" footer="0.3"/>
  <pageSetup paperSize="9" orientation="portrait" r:id="rId1"/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7"/>
  <sheetViews>
    <sheetView zoomScale="90" zoomScaleNormal="90" workbookViewId="0">
      <selection activeCell="N4" sqref="N4"/>
    </sheetView>
  </sheetViews>
  <sheetFormatPr baseColWidth="10" defaultColWidth="11.44140625" defaultRowHeight="14.4" x14ac:dyDescent="0.3"/>
  <cols>
    <col min="1" max="1" width="11.44140625" style="155"/>
    <col min="2" max="2" width="28.6640625" style="155" customWidth="1"/>
    <col min="3" max="3" width="24.33203125" style="155" customWidth="1"/>
    <col min="4" max="8" width="11.44140625" style="155"/>
    <col min="9" max="9" width="15.33203125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7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0.47719727680000001</v>
      </c>
      <c r="O2" s="160"/>
    </row>
    <row r="3" spans="1:17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7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7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7" x14ac:dyDescent="0.3">
      <c r="A5" s="192" t="s">
        <v>15</v>
      </c>
      <c r="B5" s="165" t="s">
        <v>135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0.95439455360000003</v>
      </c>
      <c r="O5" s="160"/>
    </row>
    <row r="6" spans="1:17" x14ac:dyDescent="0.3">
      <c r="A6" s="192" t="s">
        <v>7</v>
      </c>
      <c r="B6" s="195" t="s">
        <v>322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7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7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7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7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ht="28.8" x14ac:dyDescent="0.3">
      <c r="A11" s="403">
        <v>10</v>
      </c>
      <c r="B11" s="404" t="s">
        <v>273</v>
      </c>
      <c r="C11" s="403" t="s">
        <v>274</v>
      </c>
      <c r="D11" s="405">
        <v>4.2</v>
      </c>
      <c r="E11" s="406">
        <v>12</v>
      </c>
      <c r="F11" s="403" t="s">
        <v>30</v>
      </c>
      <c r="G11" s="403"/>
      <c r="H11" s="407"/>
      <c r="I11" s="408" t="s">
        <v>275</v>
      </c>
      <c r="J11" s="409">
        <f>3.14*0.006^2</f>
        <v>1.1304E-4</v>
      </c>
      <c r="K11" s="410">
        <v>0.06</v>
      </c>
      <c r="L11" s="415">
        <v>2710</v>
      </c>
      <c r="M11" s="411">
        <v>1</v>
      </c>
      <c r="N11" s="346">
        <f>IF(J11="",D11*M11,D11*J11*K11*L11*M11)</f>
        <v>7.7197276800000006E-2</v>
      </c>
      <c r="O11" s="416"/>
    </row>
    <row r="12" spans="1:17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7.7197276800000006E-2</v>
      </c>
      <c r="O12" s="160"/>
    </row>
    <row r="13" spans="1:17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Q13" s="207"/>
    </row>
    <row r="14" spans="1:17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7" x14ac:dyDescent="0.3">
      <c r="A15" s="342">
        <v>10</v>
      </c>
      <c r="B15" s="339" t="s">
        <v>272</v>
      </c>
      <c r="C15" s="412"/>
      <c r="D15" s="413">
        <v>0.4</v>
      </c>
      <c r="E15" s="342" t="s">
        <v>40</v>
      </c>
      <c r="F15" s="342">
        <v>1</v>
      </c>
      <c r="G15" s="342"/>
      <c r="H15" s="342"/>
      <c r="I15" s="414">
        <f>IF(H15="",D15*F15,D15*F15*H15)</f>
        <v>0.4</v>
      </c>
      <c r="J15" s="388"/>
      <c r="K15" s="388"/>
      <c r="L15" s="388"/>
      <c r="M15" s="388"/>
      <c r="N15" s="388"/>
      <c r="O15" s="389"/>
    </row>
    <row r="16" spans="1:17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0.4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E3" location="dSU_04007" display="Drawing"/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/>
  </sheetViews>
  <sheetFormatPr baseColWidth="10" defaultColWidth="11.44140625" defaultRowHeight="14.4" x14ac:dyDescent="0.3"/>
  <cols>
    <col min="1" max="1" width="20" style="155" customWidth="1"/>
    <col min="2" max="16384" width="11.44140625" style="155"/>
  </cols>
  <sheetData>
    <row r="1" spans="1:2" x14ac:dyDescent="0.3">
      <c r="A1" s="155" t="s">
        <v>170</v>
      </c>
      <c r="B1" s="287" t="s">
        <v>322</v>
      </c>
    </row>
  </sheetData>
  <hyperlinks>
    <hyperlink ref="B1" location="SU_04007" display="SU_04006"/>
  </hyperlinks>
  <pageMargins left="0.7" right="0.7" top="0.75" bottom="0.75" header="0.3" footer="0.3"/>
  <pageSetup paperSize="9" orientation="portrait" r:id="rId1"/>
  <drawing r:id="rId2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23.44140625" customWidth="1"/>
    <col min="3" max="3" width="16.109375" customWidth="1"/>
    <col min="7" max="7" width="17" customWidth="1"/>
    <col min="9" max="9" width="13.218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57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1.3905750000000001</v>
      </c>
      <c r="O2" s="436"/>
    </row>
    <row r="3" spans="1:15" x14ac:dyDescent="0.3">
      <c r="A3" s="433" t="s">
        <v>3</v>
      </c>
      <c r="B3" s="157" t="str">
        <f>'SU A0400'!B3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213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289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1.3905750000000001</v>
      </c>
      <c r="O5" s="436"/>
    </row>
    <row r="6" spans="1:15" x14ac:dyDescent="0.3">
      <c r="A6" s="433" t="s">
        <v>7</v>
      </c>
      <c r="B6" s="439" t="s">
        <v>332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4.710000000000001E-2</v>
      </c>
      <c r="F11" s="445" t="s">
        <v>212</v>
      </c>
      <c r="G11" s="445"/>
      <c r="H11" s="446"/>
      <c r="I11" s="447" t="s">
        <v>333</v>
      </c>
      <c r="J11" s="448">
        <f>0.05*0.024</f>
        <v>1.2000000000000001E-3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0.10597500000000001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2.4000000000000002E-3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2.4E-2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0.12997500000000001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0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15.3</v>
      </c>
      <c r="G17" s="453"/>
      <c r="H17" s="456"/>
      <c r="I17" s="457">
        <f>IF(H17="",D17*F17,D17*F17*H17)</f>
        <v>0.153</v>
      </c>
      <c r="J17" s="311"/>
      <c r="K17" s="417"/>
      <c r="L17" s="417"/>
      <c r="M17" s="417"/>
      <c r="N17" s="417"/>
      <c r="O17" s="436"/>
    </row>
    <row r="18" spans="1:15" ht="31.2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2.4000000000000002E-3</v>
      </c>
      <c r="G20" s="453"/>
      <c r="H20" s="456"/>
      <c r="I20" s="464">
        <f>F20*D20</f>
        <v>1.2600000000000002E-2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1.2606000000000002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E3" location="dSU_04008" display="Drawing"/>
    <hyperlink ref="F2" location="SU_A0400_BOM" display="Back to BOM"/>
    <hyperlink ref="B4" location="SU_A0400" display="Lower Back A-arm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view="pageBreakPreview" zoomScale="60" zoomScaleNormal="85" workbookViewId="0">
      <selection activeCell="G2" sqref="G2"/>
    </sheetView>
  </sheetViews>
  <sheetFormatPr baseColWidth="10" defaultRowHeight="14.4" x14ac:dyDescent="0.3"/>
  <cols>
    <col min="2" max="2" width="19.44140625" customWidth="1"/>
    <col min="3" max="3" width="33" customWidth="1"/>
    <col min="5" max="5" width="14.77734375" customWidth="1"/>
  </cols>
  <sheetData>
    <row r="1" spans="1:15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5" x14ac:dyDescent="0.3">
      <c r="A2" s="350" t="s">
        <v>0</v>
      </c>
      <c r="B2" s="351" t="s">
        <v>37</v>
      </c>
      <c r="C2" s="352"/>
      <c r="D2" s="352"/>
      <c r="E2" s="352"/>
      <c r="F2" s="352"/>
      <c r="G2" s="353" t="s">
        <v>126</v>
      </c>
      <c r="H2" s="352"/>
      <c r="I2" s="352"/>
      <c r="J2" s="354" t="s">
        <v>1</v>
      </c>
      <c r="K2" s="355">
        <v>81</v>
      </c>
      <c r="L2" s="352"/>
      <c r="M2" s="350" t="s">
        <v>16</v>
      </c>
      <c r="N2" s="356">
        <f>N12+I16</f>
        <v>8.8765790399999975</v>
      </c>
      <c r="O2" s="357"/>
    </row>
    <row r="3" spans="1:15" x14ac:dyDescent="0.3">
      <c r="A3" s="350" t="s">
        <v>3</v>
      </c>
      <c r="B3" s="351" t="str">
        <f>'SU A0100'!B3</f>
        <v>Suspension &amp; Shocks</v>
      </c>
      <c r="C3" s="352"/>
      <c r="D3" s="350" t="s">
        <v>6</v>
      </c>
      <c r="E3" s="358" t="s">
        <v>86</v>
      </c>
      <c r="F3" s="352"/>
      <c r="G3" s="352"/>
      <c r="H3" s="352"/>
      <c r="I3" s="352"/>
      <c r="J3" s="352"/>
      <c r="K3" s="352"/>
      <c r="L3" s="352"/>
      <c r="M3" s="350" t="s">
        <v>4</v>
      </c>
      <c r="N3" s="359">
        <v>1</v>
      </c>
      <c r="O3" s="357"/>
    </row>
    <row r="4" spans="1:15" x14ac:dyDescent="0.3">
      <c r="A4" s="350" t="s">
        <v>5</v>
      </c>
      <c r="B4" s="353" t="str">
        <f>'SU A0100'!B4</f>
        <v>Upper Front A-arm</v>
      </c>
      <c r="C4" s="352"/>
      <c r="D4" s="350" t="s">
        <v>8</v>
      </c>
      <c r="E4" s="352"/>
      <c r="F4" s="352"/>
      <c r="G4" s="352"/>
      <c r="H4" s="352"/>
      <c r="I4" s="352"/>
      <c r="J4" s="360" t="s">
        <v>6</v>
      </c>
      <c r="K4" s="352"/>
      <c r="L4" s="352"/>
      <c r="M4" s="352"/>
      <c r="N4" s="352"/>
      <c r="O4" s="357"/>
    </row>
    <row r="5" spans="1:15" x14ac:dyDescent="0.3">
      <c r="A5" s="350" t="s">
        <v>15</v>
      </c>
      <c r="B5" s="361" t="s">
        <v>154</v>
      </c>
      <c r="C5" s="352"/>
      <c r="D5" s="350" t="s">
        <v>12</v>
      </c>
      <c r="E5" s="352"/>
      <c r="F5" s="352"/>
      <c r="G5" s="352"/>
      <c r="H5" s="352"/>
      <c r="I5" s="352"/>
      <c r="J5" s="360" t="s">
        <v>8</v>
      </c>
      <c r="K5" s="352"/>
      <c r="L5" s="352"/>
      <c r="M5" s="350" t="s">
        <v>9</v>
      </c>
      <c r="N5" s="356">
        <f>N3*N2</f>
        <v>8.8765790399999975</v>
      </c>
      <c r="O5" s="357"/>
    </row>
    <row r="6" spans="1:15" x14ac:dyDescent="0.3">
      <c r="A6" s="350" t="s">
        <v>7</v>
      </c>
      <c r="B6" s="362" t="s">
        <v>175</v>
      </c>
      <c r="C6" s="352"/>
      <c r="D6" s="352"/>
      <c r="E6" s="352"/>
      <c r="F6" s="352"/>
      <c r="G6" s="352"/>
      <c r="H6" s="352"/>
      <c r="I6" s="352"/>
      <c r="J6" s="360" t="s">
        <v>12</v>
      </c>
      <c r="K6" s="352"/>
      <c r="L6" s="352"/>
      <c r="M6" s="352"/>
      <c r="N6" s="352"/>
      <c r="O6" s="357"/>
    </row>
    <row r="7" spans="1:15" x14ac:dyDescent="0.3">
      <c r="A7" s="350" t="s">
        <v>10</v>
      </c>
      <c r="B7" s="351" t="s">
        <v>11</v>
      </c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5" x14ac:dyDescent="0.3">
      <c r="A8" s="350" t="s">
        <v>13</v>
      </c>
      <c r="B8" s="351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5" x14ac:dyDescent="0.3">
      <c r="A9" s="363"/>
      <c r="B9" s="364"/>
      <c r="C9" s="364"/>
      <c r="D9" s="364"/>
      <c r="E9" s="364"/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5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5" x14ac:dyDescent="0.3">
      <c r="A11" s="368">
        <v>10</v>
      </c>
      <c r="B11" s="369" t="s">
        <v>188</v>
      </c>
      <c r="C11" s="370" t="s">
        <v>189</v>
      </c>
      <c r="D11" s="149">
        <f>200*E11*L11</f>
        <v>7.8902924799999985</v>
      </c>
      <c r="E11" s="371">
        <f>J11*K11</f>
        <v>2.4969279999999993E-5</v>
      </c>
      <c r="F11" s="372" t="s">
        <v>190</v>
      </c>
      <c r="G11" s="372"/>
      <c r="H11" s="373"/>
      <c r="I11" s="374" t="s">
        <v>164</v>
      </c>
      <c r="J11" s="375">
        <f>3.14*(0.008*0.008-0.006*0.006)</f>
        <v>8.7919999999999985E-5</v>
      </c>
      <c r="K11" s="376">
        <v>0.28399999999999997</v>
      </c>
      <c r="L11" s="377">
        <v>1580</v>
      </c>
      <c r="M11" s="378">
        <v>1</v>
      </c>
      <c r="N11" s="379">
        <f>D11*M11</f>
        <v>7.8902924799999985</v>
      </c>
      <c r="O11" s="380"/>
    </row>
    <row r="12" spans="1:15" x14ac:dyDescent="0.3">
      <c r="A12" s="381"/>
      <c r="B12" s="382"/>
      <c r="C12" s="382"/>
      <c r="D12" s="382"/>
      <c r="E12" s="382"/>
      <c r="F12" s="382"/>
      <c r="G12" s="382"/>
      <c r="H12" s="382"/>
      <c r="I12" s="382"/>
      <c r="J12" s="382"/>
      <c r="K12" s="382"/>
      <c r="L12" s="382"/>
      <c r="M12" s="383" t="s">
        <v>18</v>
      </c>
      <c r="N12" s="384">
        <f>SUM(N11:N11)</f>
        <v>7.8902924799999985</v>
      </c>
      <c r="O12" s="357"/>
    </row>
    <row r="13" spans="1:15" x14ac:dyDescent="0.3">
      <c r="A13" s="385"/>
      <c r="B13" s="352"/>
      <c r="C13" s="352"/>
      <c r="D13" s="352"/>
      <c r="E13" s="352"/>
      <c r="F13" s="352"/>
      <c r="G13" s="352"/>
      <c r="H13" s="352"/>
      <c r="I13" s="352"/>
      <c r="J13" s="352"/>
      <c r="K13" s="352"/>
      <c r="L13" s="352"/>
      <c r="M13" s="352"/>
      <c r="N13" s="352"/>
      <c r="O13" s="357"/>
    </row>
    <row r="14" spans="1:15" x14ac:dyDescent="0.3">
      <c r="A14" s="386" t="s">
        <v>14</v>
      </c>
      <c r="B14" s="367" t="s">
        <v>31</v>
      </c>
      <c r="C14" s="367" t="s">
        <v>20</v>
      </c>
      <c r="D14" s="367" t="s">
        <v>21</v>
      </c>
      <c r="E14" s="367" t="s">
        <v>32</v>
      </c>
      <c r="F14" s="367" t="s">
        <v>17</v>
      </c>
      <c r="G14" s="367" t="s">
        <v>33</v>
      </c>
      <c r="H14" s="367" t="s">
        <v>34</v>
      </c>
      <c r="I14" s="367" t="s">
        <v>18</v>
      </c>
      <c r="J14" s="382"/>
      <c r="K14" s="382"/>
      <c r="L14" s="382"/>
      <c r="M14" s="382"/>
      <c r="N14" s="382"/>
      <c r="O14" s="357"/>
    </row>
    <row r="15" spans="1:15" ht="28.8" x14ac:dyDescent="0.3">
      <c r="A15" s="369">
        <v>10</v>
      </c>
      <c r="B15" s="369" t="s">
        <v>210</v>
      </c>
      <c r="C15" s="369" t="s">
        <v>211</v>
      </c>
      <c r="D15" s="344">
        <v>25</v>
      </c>
      <c r="E15" s="339" t="s">
        <v>212</v>
      </c>
      <c r="F15" s="387">
        <f>J11*K11*L11</f>
        <v>3.9451462399999991E-2</v>
      </c>
      <c r="G15" s="237"/>
      <c r="H15" s="237"/>
      <c r="I15" s="346">
        <f>IF(H15="",D15*F15,D15*F15*H15)</f>
        <v>0.98628655999999981</v>
      </c>
      <c r="J15" s="388"/>
      <c r="K15" s="388"/>
      <c r="L15" s="388"/>
      <c r="M15" s="388"/>
      <c r="N15" s="388"/>
      <c r="O15" s="389"/>
    </row>
    <row r="16" spans="1:15" x14ac:dyDescent="0.3">
      <c r="A16" s="381"/>
      <c r="B16" s="382"/>
      <c r="C16" s="382"/>
      <c r="D16" s="382"/>
      <c r="E16" s="382"/>
      <c r="F16" s="382"/>
      <c r="G16" s="382"/>
      <c r="H16" s="390" t="s">
        <v>18</v>
      </c>
      <c r="I16" s="384">
        <f>SUM(I15:I15)</f>
        <v>0.98628655999999981</v>
      </c>
      <c r="J16" s="382"/>
      <c r="K16" s="382"/>
      <c r="L16" s="382"/>
      <c r="M16" s="382"/>
      <c r="N16" s="382"/>
      <c r="O16" s="357"/>
    </row>
    <row r="17" spans="1:15" ht="15" thickBot="1" x14ac:dyDescent="0.35">
      <c r="A17" s="391"/>
      <c r="B17" s="392"/>
      <c r="C17" s="392"/>
      <c r="D17" s="392"/>
      <c r="E17" s="392"/>
      <c r="F17" s="392"/>
      <c r="G17" s="392"/>
      <c r="H17" s="392"/>
      <c r="I17" s="392"/>
      <c r="J17" s="392"/>
      <c r="K17" s="392"/>
      <c r="L17" s="392"/>
      <c r="M17" s="392"/>
      <c r="N17" s="392"/>
      <c r="O17" s="393"/>
    </row>
  </sheetData>
  <hyperlinks>
    <hyperlink ref="B4" location="'SU A0100'!A1" display="'SU A0100'!A1"/>
    <hyperlink ref="G2" location="SU_A0100_BOM" display="Back to BOM"/>
  </hyperlinks>
  <pageMargins left="0.7" right="0.7" top="0.75" bottom="0.75" header="0.3" footer="0.3"/>
  <pageSetup paperSize="9" scale="39" orientation="portrait"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3.33203125" customWidth="1"/>
  </cols>
  <sheetData>
    <row r="1" spans="1:2" x14ac:dyDescent="0.3">
      <c r="A1" s="155" t="s">
        <v>170</v>
      </c>
      <c r="B1" s="287" t="s">
        <v>323</v>
      </c>
    </row>
  </sheetData>
  <hyperlinks>
    <hyperlink ref="B1" location="SU_04008" display="SU_04008"/>
  </hyperlinks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17.77734375" customWidth="1"/>
    <col min="3" max="3" width="16.6640625" customWidth="1"/>
    <col min="7" max="7" width="17.6640625" customWidth="1"/>
    <col min="9" max="9" width="14.77734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57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1.3814265000000003</v>
      </c>
      <c r="O2" s="436"/>
    </row>
    <row r="3" spans="1:15" x14ac:dyDescent="0.3">
      <c r="A3" s="433" t="s">
        <v>3</v>
      </c>
      <c r="B3" s="157" t="str">
        <f>'SU A0400'!B3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213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290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1.3814265000000003</v>
      </c>
      <c r="O5" s="436"/>
    </row>
    <row r="6" spans="1:15" x14ac:dyDescent="0.3">
      <c r="A6" s="433" t="s">
        <v>7</v>
      </c>
      <c r="B6" s="439" t="s">
        <v>334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4.8042000000000008E-2</v>
      </c>
      <c r="F11" s="445" t="s">
        <v>212</v>
      </c>
      <c r="G11" s="445"/>
      <c r="H11" s="446"/>
      <c r="I11" s="447" t="s">
        <v>335</v>
      </c>
      <c r="J11" s="448">
        <f>0.051*0.024</f>
        <v>1.224E-3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0.1080945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2.4480000000000001E-3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2.4480000000000002E-2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0.13257449999999998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0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14.1</v>
      </c>
      <c r="G17" s="453"/>
      <c r="H17" s="456"/>
      <c r="I17" s="457">
        <f>IF(H17="",D17*F17,D17*F17*H17)</f>
        <v>0.14099999999999999</v>
      </c>
      <c r="J17" s="311"/>
      <c r="K17" s="417"/>
      <c r="L17" s="417"/>
      <c r="M17" s="417"/>
      <c r="N17" s="417"/>
      <c r="O17" s="436"/>
    </row>
    <row r="18" spans="1:15" ht="31.2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2.4480000000000001E-3</v>
      </c>
      <c r="G20" s="453"/>
      <c r="H20" s="456"/>
      <c r="I20" s="464">
        <f>F20*D20</f>
        <v>1.2852000000000001E-2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1.2488520000000003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E3" location="dSU_04009" display="Drawing"/>
    <hyperlink ref="F2" location="SU_A0400_BOM" display="Back to BOM"/>
    <hyperlink ref="B4" location="SU_A0400" display="Lower Back A-arm"/>
  </hyperlinks>
  <pageMargins left="0.7" right="0.7" top="0.75" bottom="0.75" header="0.3" footer="0.3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338</v>
      </c>
    </row>
  </sheetData>
  <hyperlinks>
    <hyperlink ref="B1" location="SU_04009" display="SU_04009"/>
  </hyperlinks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18.21875" customWidth="1"/>
    <col min="3" max="3" width="18.88671875" customWidth="1"/>
    <col min="7" max="7" width="18.6640625" customWidth="1"/>
    <col min="9" max="9" width="13.332031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57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1.8130709999999999</v>
      </c>
      <c r="O2" s="436"/>
    </row>
    <row r="3" spans="1:15" x14ac:dyDescent="0.3">
      <c r="A3" s="433" t="s">
        <v>3</v>
      </c>
      <c r="B3" s="157" t="str">
        <f>'SU A0400'!B3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213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291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1.8130709999999999</v>
      </c>
      <c r="O5" s="436"/>
    </row>
    <row r="6" spans="1:15" x14ac:dyDescent="0.3">
      <c r="A6" s="433" t="s">
        <v>7</v>
      </c>
      <c r="B6" s="439" t="s">
        <v>340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x14ac:dyDescent="0.3">
      <c r="A11" s="645">
        <v>10</v>
      </c>
      <c r="B11" s="441" t="s">
        <v>278</v>
      </c>
      <c r="C11" s="442" t="s">
        <v>279</v>
      </c>
      <c r="D11" s="443">
        <v>2.25</v>
      </c>
      <c r="E11" s="444">
        <f>J11*K11*L11</f>
        <v>0.107388</v>
      </c>
      <c r="F11" s="445" t="s">
        <v>212</v>
      </c>
      <c r="G11" s="445"/>
      <c r="H11" s="446"/>
      <c r="I11" s="447" t="s">
        <v>336</v>
      </c>
      <c r="J11" s="448">
        <f>0.038*0.072</f>
        <v>2.7359999999999997E-3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0.24162299999999995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5.4719999999999994E-3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5.4719999999999991E-2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0.29634299999999991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28.8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27.3</v>
      </c>
      <c r="G17" s="453"/>
      <c r="H17" s="456"/>
      <c r="I17" s="457">
        <f>IF(H17="",D17*F17,D17*F17*H17)</f>
        <v>0.27300000000000002</v>
      </c>
      <c r="J17" s="311"/>
      <c r="K17" s="417"/>
      <c r="L17" s="417"/>
      <c r="M17" s="417"/>
      <c r="N17" s="417"/>
      <c r="O17" s="436"/>
    </row>
    <row r="18" spans="1:15" ht="28.8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2</v>
      </c>
      <c r="G19" s="462" t="s">
        <v>268</v>
      </c>
      <c r="H19" s="462">
        <v>3</v>
      </c>
      <c r="I19" s="464">
        <f t="shared" si="0"/>
        <v>0.24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5.4719999999999994E-3</v>
      </c>
      <c r="G20" s="453"/>
      <c r="H20" s="456"/>
      <c r="I20" s="464">
        <f>F20*D20</f>
        <v>2.8727999999999997E-2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1.5167280000000001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E3" location="dSU_04010" display="Drawing"/>
    <hyperlink ref="F2" location="SU_A0400_BOM" display="Back to BOM"/>
    <hyperlink ref="B4" location="SU_A0400" display="Lower Back A-arm"/>
  </hyperlinks>
  <pageMargins left="0.7" right="0.7" top="0.75" bottom="0.75" header="0.3" footer="0.3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341</v>
      </c>
    </row>
  </sheetData>
  <hyperlinks>
    <hyperlink ref="B1" location="SU_04010" display="SU_04010"/>
  </hyperlinks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20.6640625" customWidth="1"/>
    <col min="3" max="3" width="19.77734375" customWidth="1"/>
    <col min="7" max="7" width="16.6640625" customWidth="1"/>
    <col min="9" max="9" width="13.66406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57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1.9015070000000001</v>
      </c>
      <c r="O2" s="436"/>
    </row>
    <row r="3" spans="1:15" x14ac:dyDescent="0.3">
      <c r="A3" s="433" t="s">
        <v>3</v>
      </c>
      <c r="B3" s="157" t="str">
        <f>'SU A0400'!B3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213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292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1.9015070000000001</v>
      </c>
      <c r="O5" s="436"/>
    </row>
    <row r="6" spans="1:15" x14ac:dyDescent="0.3">
      <c r="A6" s="433" t="s">
        <v>7</v>
      </c>
      <c r="B6" s="439" t="s">
        <v>339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x14ac:dyDescent="0.3">
      <c r="A11" s="645">
        <v>10</v>
      </c>
      <c r="B11" s="647" t="s">
        <v>278</v>
      </c>
      <c r="C11" s="442" t="s">
        <v>279</v>
      </c>
      <c r="D11" s="443">
        <v>2.25</v>
      </c>
      <c r="E11" s="444">
        <f>J11*K11*L11</f>
        <v>0.129996</v>
      </c>
      <c r="F11" s="445" t="s">
        <v>212</v>
      </c>
      <c r="G11" s="445"/>
      <c r="H11" s="446"/>
      <c r="I11" s="447" t="s">
        <v>337</v>
      </c>
      <c r="J11" s="448">
        <f>0.046*0.072</f>
        <v>3.3119999999999998E-3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0.292491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6.6239999999999997E-3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6.6239999999999993E-2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0.35873100000000002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28.8" x14ac:dyDescent="0.3">
      <c r="A16" s="452">
        <v>10</v>
      </c>
      <c r="B16" s="646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29.3</v>
      </c>
      <c r="G17" s="453"/>
      <c r="H17" s="456"/>
      <c r="I17" s="457">
        <f>IF(H17="",D17*F17,D17*F17*H17)</f>
        <v>0.29300000000000004</v>
      </c>
      <c r="J17" s="311"/>
      <c r="K17" s="417"/>
      <c r="L17" s="417"/>
      <c r="M17" s="417"/>
      <c r="N17" s="417"/>
      <c r="O17" s="436"/>
    </row>
    <row r="18" spans="1:15" ht="28.8" x14ac:dyDescent="0.3">
      <c r="A18" s="452">
        <v>30</v>
      </c>
      <c r="B18" s="461" t="s">
        <v>39</v>
      </c>
      <c r="C18" s="648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2</v>
      </c>
      <c r="G19" s="462" t="s">
        <v>268</v>
      </c>
      <c r="H19" s="462">
        <v>3</v>
      </c>
      <c r="I19" s="464">
        <f t="shared" si="0"/>
        <v>0.24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575" t="s">
        <v>284</v>
      </c>
      <c r="D20" s="315">
        <v>5.25</v>
      </c>
      <c r="E20" s="453" t="s">
        <v>276</v>
      </c>
      <c r="F20" s="465">
        <f>2*J11</f>
        <v>6.6239999999999997E-3</v>
      </c>
      <c r="G20" s="453"/>
      <c r="H20" s="456"/>
      <c r="I20" s="464">
        <f>F20*D20</f>
        <v>3.4776000000000001E-2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1.5427759999999999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E3" location="dSU_03008" display="Drawing"/>
    <hyperlink ref="F2" location="SU_A0400_BOM" display="Back to BOM"/>
    <hyperlink ref="B4" location="SU_A0400" display="Lower Back A-arm"/>
  </hyperlinks>
  <pageMargins left="0.7" right="0.7" top="0.75" bottom="0.75" header="0.3" footer="0.3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342</v>
      </c>
    </row>
  </sheetData>
  <hyperlinks>
    <hyperlink ref="B1" location="SU_04011" display="SU_04011"/>
  </hyperlinks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55"/>
  <sheetViews>
    <sheetView zoomScale="75" zoomScaleNormal="75" zoomScaleSheetLayoutView="80" workbookViewId="0">
      <selection activeCell="D10" sqref="D10"/>
    </sheetView>
  </sheetViews>
  <sheetFormatPr baseColWidth="10" defaultColWidth="9.109375" defaultRowHeight="14.4" x14ac:dyDescent="0.3"/>
  <cols>
    <col min="2" max="2" width="28" customWidth="1"/>
    <col min="3" max="3" width="52.4414062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SU_A0500_pa+SU_A0500_m+SU_A0500_p+SU_A0500_f+SU_A0500_t</f>
        <v>338.62063016572864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343</v>
      </c>
      <c r="C4" s="56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344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N2*N3</f>
        <v>677.24126033145728</v>
      </c>
      <c r="O5" s="62"/>
    </row>
    <row r="6" spans="1:15" x14ac:dyDescent="0.3">
      <c r="A6" s="98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649" t="s">
        <v>345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50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582">
        <v>10</v>
      </c>
      <c r="B10" s="472" t="s">
        <v>346</v>
      </c>
      <c r="C10" s="585">
        <f>'SU 05001'!N2</f>
        <v>5.9234014172552163</v>
      </c>
      <c r="D10" s="651">
        <f>SU_05001_q</f>
        <v>1</v>
      </c>
      <c r="E10" s="585">
        <f>C10*D10</f>
        <v>5.9234014172552163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3"/>
      <c r="B11" s="56"/>
      <c r="C11" s="56"/>
      <c r="D11" s="265" t="s">
        <v>18</v>
      </c>
      <c r="E11" s="244">
        <f>SUM(E10:E10)</f>
        <v>5.9234014172552163</v>
      </c>
      <c r="F11" s="57"/>
      <c r="G11" s="57"/>
      <c r="H11" s="57"/>
      <c r="I11" s="57"/>
      <c r="J11" s="57"/>
      <c r="K11" s="57"/>
      <c r="L11" s="57"/>
      <c r="M11" s="57"/>
      <c r="N11" s="57"/>
      <c r="O11" s="62"/>
    </row>
    <row r="12" spans="1:15" x14ac:dyDescent="0.3">
      <c r="A12" s="63"/>
      <c r="B12" s="56"/>
      <c r="C12" s="56"/>
      <c r="D12" s="56"/>
      <c r="E12" s="56"/>
      <c r="F12" s="56"/>
      <c r="G12" s="56"/>
      <c r="H12" s="56"/>
      <c r="I12" s="56"/>
      <c r="J12" s="56"/>
      <c r="K12" s="56"/>
      <c r="L12" s="56"/>
      <c r="M12" s="56"/>
      <c r="N12" s="56"/>
      <c r="O12" s="62"/>
    </row>
    <row r="13" spans="1:15" x14ac:dyDescent="0.3">
      <c r="A13" s="650" t="s">
        <v>14</v>
      </c>
      <c r="B13" s="650" t="s">
        <v>19</v>
      </c>
      <c r="C13" s="650" t="s">
        <v>20</v>
      </c>
      <c r="D13" s="650" t="s">
        <v>21</v>
      </c>
      <c r="E13" s="650" t="s">
        <v>22</v>
      </c>
      <c r="F13" s="650" t="s">
        <v>23</v>
      </c>
      <c r="G13" s="650" t="s">
        <v>24</v>
      </c>
      <c r="H13" s="650" t="s">
        <v>25</v>
      </c>
      <c r="I13" s="650" t="s">
        <v>26</v>
      </c>
      <c r="J13" s="650" t="s">
        <v>27</v>
      </c>
      <c r="K13" s="650" t="s">
        <v>28</v>
      </c>
      <c r="L13" s="650" t="s">
        <v>29</v>
      </c>
      <c r="M13" s="650" t="s">
        <v>17</v>
      </c>
      <c r="N13" s="650" t="s">
        <v>18</v>
      </c>
      <c r="O13" s="62"/>
    </row>
    <row r="14" spans="1:15" x14ac:dyDescent="0.3">
      <c r="A14" s="582">
        <v>10</v>
      </c>
      <c r="B14" s="582" t="s">
        <v>347</v>
      </c>
      <c r="C14" s="582"/>
      <c r="D14" s="585">
        <v>305</v>
      </c>
      <c r="E14" s="582"/>
      <c r="F14" s="582" t="s">
        <v>35</v>
      </c>
      <c r="G14" s="582"/>
      <c r="H14" s="586"/>
      <c r="I14" s="652"/>
      <c r="J14" s="653"/>
      <c r="K14" s="586"/>
      <c r="L14" s="586"/>
      <c r="M14" s="588">
        <v>1</v>
      </c>
      <c r="N14" s="585">
        <f>D14*M14</f>
        <v>305</v>
      </c>
      <c r="O14" s="62"/>
    </row>
    <row r="15" spans="1:15" s="22" customFormat="1" x14ac:dyDescent="0.3">
      <c r="A15" s="582">
        <v>20</v>
      </c>
      <c r="B15" s="582" t="s">
        <v>348</v>
      </c>
      <c r="C15" s="654"/>
      <c r="D15" s="585">
        <v>25</v>
      </c>
      <c r="E15" s="655"/>
      <c r="F15" s="655" t="s">
        <v>35</v>
      </c>
      <c r="G15" s="655"/>
      <c r="H15" s="586"/>
      <c r="I15" s="656"/>
      <c r="J15" s="657"/>
      <c r="K15" s="658"/>
      <c r="L15" s="589"/>
      <c r="M15" s="588">
        <v>1</v>
      </c>
      <c r="N15" s="585">
        <f>D15*M15</f>
        <v>25</v>
      </c>
      <c r="O15" s="66"/>
    </row>
    <row r="16" spans="1:15" x14ac:dyDescent="0.3">
      <c r="A16" s="659">
        <v>30</v>
      </c>
      <c r="B16" s="660" t="s">
        <v>349</v>
      </c>
      <c r="C16" s="659"/>
      <c r="D16" s="585">
        <v>0</v>
      </c>
      <c r="E16" s="659"/>
      <c r="F16" s="659" t="s">
        <v>35</v>
      </c>
      <c r="G16" s="659"/>
      <c r="H16" s="659"/>
      <c r="I16" s="659"/>
      <c r="J16" s="659"/>
      <c r="K16" s="659"/>
      <c r="L16" s="659"/>
      <c r="M16" s="659">
        <v>2</v>
      </c>
      <c r="N16" s="585">
        <f>D16*M16</f>
        <v>0</v>
      </c>
    </row>
    <row r="17" spans="1:15" x14ac:dyDescent="0.3">
      <c r="A17" s="659">
        <v>40</v>
      </c>
      <c r="B17" s="660" t="s">
        <v>350</v>
      </c>
      <c r="C17" s="659" t="s">
        <v>351</v>
      </c>
      <c r="D17" s="585">
        <v>10</v>
      </c>
      <c r="E17" s="659">
        <v>4.0000000000000001E-3</v>
      </c>
      <c r="F17" s="659" t="s">
        <v>276</v>
      </c>
      <c r="G17" s="659"/>
      <c r="H17" s="659"/>
      <c r="I17" s="659"/>
      <c r="J17" s="659"/>
      <c r="K17" s="659"/>
      <c r="L17" s="659"/>
      <c r="M17" s="659">
        <v>1</v>
      </c>
      <c r="N17" s="585">
        <f>D17*E17*M17</f>
        <v>0.04</v>
      </c>
    </row>
    <row r="18" spans="1:15" x14ac:dyDescent="0.3">
      <c r="A18" s="67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661" t="s">
        <v>18</v>
      </c>
      <c r="N18" s="244">
        <f>SUM(N14:N17)</f>
        <v>330.04</v>
      </c>
      <c r="O18" s="62"/>
    </row>
    <row r="19" spans="1:15" x14ac:dyDescent="0.3">
      <c r="A19" s="63"/>
      <c r="B19" s="56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6"/>
      <c r="N19" s="56"/>
      <c r="O19" s="62"/>
    </row>
    <row r="20" spans="1:15" s="25" customFormat="1" x14ac:dyDescent="0.3">
      <c r="A20" s="98" t="s">
        <v>14</v>
      </c>
      <c r="B20" s="98" t="s">
        <v>31</v>
      </c>
      <c r="C20" s="98" t="s">
        <v>20</v>
      </c>
      <c r="D20" s="98" t="s">
        <v>21</v>
      </c>
      <c r="E20" s="98" t="s">
        <v>32</v>
      </c>
      <c r="F20" s="98" t="s">
        <v>17</v>
      </c>
      <c r="G20" s="98" t="s">
        <v>33</v>
      </c>
      <c r="H20" s="98" t="s">
        <v>34</v>
      </c>
      <c r="I20" s="98" t="s">
        <v>18</v>
      </c>
      <c r="J20" s="24"/>
      <c r="K20" s="24"/>
      <c r="L20" s="24"/>
      <c r="M20" s="24"/>
      <c r="N20" s="24"/>
      <c r="O20" s="68"/>
    </row>
    <row r="21" spans="1:15" s="25" customFormat="1" x14ac:dyDescent="0.3">
      <c r="A21" s="662">
        <v>10</v>
      </c>
      <c r="B21" s="663" t="s">
        <v>352</v>
      </c>
      <c r="C21" s="662" t="s">
        <v>353</v>
      </c>
      <c r="D21" s="662">
        <v>0.38</v>
      </c>
      <c r="E21" s="662" t="s">
        <v>40</v>
      </c>
      <c r="F21" s="662">
        <f>2*1.7</f>
        <v>3.4</v>
      </c>
      <c r="G21" s="662"/>
      <c r="H21" s="662"/>
      <c r="I21" s="664">
        <f t="shared" ref="I21:I30" si="0">IF(H21="",D21*F21,D21*F21*H21)</f>
        <v>1.292</v>
      </c>
      <c r="J21" s="24"/>
      <c r="K21" s="24"/>
      <c r="L21" s="24"/>
      <c r="M21" s="24"/>
      <c r="N21" s="24"/>
      <c r="O21" s="68"/>
    </row>
    <row r="22" spans="1:15" s="25" customFormat="1" x14ac:dyDescent="0.3">
      <c r="A22" s="665">
        <v>20</v>
      </c>
      <c r="B22" s="666" t="s">
        <v>354</v>
      </c>
      <c r="C22" s="666" t="s">
        <v>355</v>
      </c>
      <c r="D22" s="285">
        <v>5.25</v>
      </c>
      <c r="E22" s="665" t="s">
        <v>276</v>
      </c>
      <c r="F22" s="665">
        <v>4.0000000000000001E-3</v>
      </c>
      <c r="G22" s="662"/>
      <c r="H22" s="662"/>
      <c r="I22" s="664">
        <f t="shared" si="0"/>
        <v>2.1000000000000001E-2</v>
      </c>
      <c r="J22" s="24"/>
      <c r="K22" s="24"/>
      <c r="L22" s="24"/>
      <c r="M22" s="24"/>
      <c r="N22" s="24"/>
      <c r="O22" s="68"/>
    </row>
    <row r="23" spans="1:15" x14ac:dyDescent="0.3">
      <c r="A23" s="667">
        <v>30</v>
      </c>
      <c r="B23" s="663" t="s">
        <v>356</v>
      </c>
      <c r="C23" s="667" t="s">
        <v>357</v>
      </c>
      <c r="D23" s="664">
        <v>0.06</v>
      </c>
      <c r="E23" s="667" t="s">
        <v>35</v>
      </c>
      <c r="F23" s="667">
        <v>1</v>
      </c>
      <c r="G23" s="667"/>
      <c r="H23" s="667"/>
      <c r="I23" s="664">
        <f t="shared" si="0"/>
        <v>0.06</v>
      </c>
      <c r="J23" s="56"/>
      <c r="K23" s="56"/>
      <c r="L23" s="56"/>
      <c r="M23" s="56"/>
      <c r="N23" s="56"/>
      <c r="O23" s="62"/>
    </row>
    <row r="24" spans="1:15" x14ac:dyDescent="0.3">
      <c r="A24" s="668">
        <v>40</v>
      </c>
      <c r="B24" s="669" t="s">
        <v>358</v>
      </c>
      <c r="C24" s="668" t="s">
        <v>359</v>
      </c>
      <c r="D24" s="670">
        <v>2</v>
      </c>
      <c r="E24" s="671" t="s">
        <v>35</v>
      </c>
      <c r="F24" s="667">
        <v>1</v>
      </c>
      <c r="G24" s="668"/>
      <c r="H24" s="668"/>
      <c r="I24" s="670">
        <f t="shared" si="0"/>
        <v>2</v>
      </c>
      <c r="J24" s="56"/>
      <c r="K24" s="56"/>
      <c r="L24" s="56"/>
      <c r="M24" s="56"/>
      <c r="N24" s="56"/>
      <c r="O24" s="62"/>
    </row>
    <row r="25" spans="1:15" x14ac:dyDescent="0.3">
      <c r="A25" s="672">
        <v>50</v>
      </c>
      <c r="B25" s="673" t="s">
        <v>360</v>
      </c>
      <c r="C25" s="673" t="s">
        <v>361</v>
      </c>
      <c r="D25" s="674">
        <v>0.06</v>
      </c>
      <c r="E25" s="672" t="s">
        <v>35</v>
      </c>
      <c r="F25" s="667">
        <v>1</v>
      </c>
      <c r="G25" s="672"/>
      <c r="H25" s="672"/>
      <c r="I25" s="674">
        <f t="shared" si="0"/>
        <v>0.06</v>
      </c>
      <c r="J25" s="56"/>
      <c r="K25" s="56"/>
      <c r="L25" s="56"/>
      <c r="M25" s="56"/>
      <c r="N25" s="56"/>
      <c r="O25" s="62"/>
    </row>
    <row r="26" spans="1:15" s="17" customFormat="1" x14ac:dyDescent="0.3">
      <c r="A26" s="672">
        <v>60</v>
      </c>
      <c r="B26" s="673" t="s">
        <v>360</v>
      </c>
      <c r="C26" s="673" t="s">
        <v>362</v>
      </c>
      <c r="D26" s="674">
        <v>0.06</v>
      </c>
      <c r="E26" s="672" t="s">
        <v>35</v>
      </c>
      <c r="F26" s="667">
        <v>1</v>
      </c>
      <c r="G26" s="672"/>
      <c r="H26" s="672"/>
      <c r="I26" s="674">
        <f t="shared" si="0"/>
        <v>0.06</v>
      </c>
      <c r="J26" s="57"/>
      <c r="K26" s="57"/>
      <c r="L26" s="57"/>
      <c r="M26" s="57"/>
      <c r="N26" s="57"/>
      <c r="O26" s="65"/>
    </row>
    <row r="27" spans="1:15" s="25" customFormat="1" x14ac:dyDescent="0.3">
      <c r="A27" s="672">
        <v>70</v>
      </c>
      <c r="B27" s="288" t="s">
        <v>363</v>
      </c>
      <c r="C27" s="673" t="s">
        <v>364</v>
      </c>
      <c r="D27" s="674">
        <v>0.12</v>
      </c>
      <c r="E27" s="672" t="s">
        <v>35</v>
      </c>
      <c r="F27" s="667">
        <v>1</v>
      </c>
      <c r="G27" s="672"/>
      <c r="H27" s="672"/>
      <c r="I27" s="674">
        <f t="shared" si="0"/>
        <v>0.12</v>
      </c>
      <c r="J27" s="57"/>
      <c r="K27" s="57"/>
      <c r="L27" s="57"/>
      <c r="M27" s="57"/>
      <c r="N27" s="57"/>
      <c r="O27" s="68"/>
    </row>
    <row r="28" spans="1:15" s="25" customFormat="1" x14ac:dyDescent="0.3">
      <c r="A28" s="672">
        <v>80</v>
      </c>
      <c r="B28" s="288" t="s">
        <v>363</v>
      </c>
      <c r="C28" s="673" t="s">
        <v>365</v>
      </c>
      <c r="D28" s="674">
        <v>0.12</v>
      </c>
      <c r="E28" s="672" t="s">
        <v>35</v>
      </c>
      <c r="F28" s="667">
        <v>1</v>
      </c>
      <c r="G28" s="672"/>
      <c r="H28" s="672"/>
      <c r="I28" s="674">
        <f t="shared" si="0"/>
        <v>0.12</v>
      </c>
      <c r="J28" s="57"/>
      <c r="K28" s="57"/>
      <c r="L28" s="57"/>
      <c r="M28" s="57"/>
      <c r="N28" s="57"/>
      <c r="O28" s="68"/>
    </row>
    <row r="29" spans="1:15" s="17" customFormat="1" x14ac:dyDescent="0.3">
      <c r="A29" s="672">
        <v>90</v>
      </c>
      <c r="B29" s="288" t="s">
        <v>366</v>
      </c>
      <c r="C29" s="673" t="s">
        <v>367</v>
      </c>
      <c r="D29" s="674">
        <v>0.75</v>
      </c>
      <c r="E29" s="675" t="s">
        <v>35</v>
      </c>
      <c r="F29" s="667">
        <v>1</v>
      </c>
      <c r="G29" s="672"/>
      <c r="H29" s="672"/>
      <c r="I29" s="674">
        <f t="shared" si="0"/>
        <v>0.75</v>
      </c>
      <c r="J29" s="57"/>
      <c r="K29" s="57"/>
      <c r="L29" s="57"/>
      <c r="M29" s="57"/>
      <c r="N29" s="57"/>
      <c r="O29" s="65"/>
    </row>
    <row r="30" spans="1:15" s="17" customFormat="1" x14ac:dyDescent="0.3">
      <c r="A30" s="672">
        <v>100</v>
      </c>
      <c r="B30" s="288" t="s">
        <v>368</v>
      </c>
      <c r="C30" s="673" t="s">
        <v>367</v>
      </c>
      <c r="D30" s="674">
        <v>0.25</v>
      </c>
      <c r="E30" s="675" t="s">
        <v>35</v>
      </c>
      <c r="F30" s="667">
        <v>1</v>
      </c>
      <c r="G30" s="672"/>
      <c r="H30" s="672"/>
      <c r="I30" s="674">
        <f t="shared" si="0"/>
        <v>0.25</v>
      </c>
      <c r="J30" s="57"/>
      <c r="K30" s="57"/>
      <c r="L30" s="57"/>
      <c r="M30" s="57"/>
      <c r="N30" s="57"/>
      <c r="O30" s="65"/>
    </row>
    <row r="31" spans="1:15" x14ac:dyDescent="0.3">
      <c r="A31" s="67"/>
      <c r="B31" s="24"/>
      <c r="C31" s="24"/>
      <c r="D31" s="24"/>
      <c r="E31" s="24"/>
      <c r="F31" s="24"/>
      <c r="G31" s="24"/>
      <c r="H31" s="265" t="s">
        <v>18</v>
      </c>
      <c r="I31" s="244">
        <f>SUM(I23:I25)</f>
        <v>2.12</v>
      </c>
      <c r="J31" s="56"/>
      <c r="K31" s="56"/>
      <c r="L31" s="56"/>
      <c r="M31" s="56"/>
      <c r="N31" s="56"/>
      <c r="O31" s="62"/>
    </row>
    <row r="32" spans="1:15" x14ac:dyDescent="0.3">
      <c r="A32" s="63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56"/>
      <c r="O32" s="62"/>
    </row>
    <row r="33" spans="1:15" x14ac:dyDescent="0.3">
      <c r="A33" s="98" t="s">
        <v>14</v>
      </c>
      <c r="B33" s="98" t="s">
        <v>36</v>
      </c>
      <c r="C33" s="98" t="s">
        <v>20</v>
      </c>
      <c r="D33" s="98" t="s">
        <v>21</v>
      </c>
      <c r="E33" s="98" t="s">
        <v>22</v>
      </c>
      <c r="F33" s="98" t="s">
        <v>23</v>
      </c>
      <c r="G33" s="98" t="s">
        <v>24</v>
      </c>
      <c r="H33" s="98" t="s">
        <v>25</v>
      </c>
      <c r="I33" s="98" t="s">
        <v>17</v>
      </c>
      <c r="J33" s="98" t="s">
        <v>18</v>
      </c>
      <c r="K33" s="56"/>
      <c r="L33" s="56"/>
      <c r="M33" s="56"/>
      <c r="N33" s="56"/>
      <c r="O33" s="62"/>
    </row>
    <row r="34" spans="1:15" x14ac:dyDescent="0.3">
      <c r="A34" s="72">
        <v>10</v>
      </c>
      <c r="B34" s="72" t="s">
        <v>369</v>
      </c>
      <c r="C34" s="72" t="s">
        <v>370</v>
      </c>
      <c r="D34" s="676">
        <f>0.8/105154*E34^2*G34*SQRT(G34)+0.003*EXP(0.319*E34)</f>
        <v>0.13931812332052654</v>
      </c>
      <c r="E34" s="677">
        <v>8</v>
      </c>
      <c r="F34" s="677" t="s">
        <v>30</v>
      </c>
      <c r="G34" s="677">
        <v>35</v>
      </c>
      <c r="H34" s="677" t="s">
        <v>30</v>
      </c>
      <c r="I34" s="82">
        <v>1</v>
      </c>
      <c r="J34" s="74">
        <f>I34*D34</f>
        <v>0.13931812332052654</v>
      </c>
      <c r="K34" s="56"/>
      <c r="L34" s="56"/>
      <c r="M34" s="56"/>
      <c r="N34" s="56"/>
      <c r="O34" s="62"/>
    </row>
    <row r="35" spans="1:15" x14ac:dyDescent="0.3">
      <c r="A35" s="72">
        <v>20</v>
      </c>
      <c r="B35" s="72" t="s">
        <v>371</v>
      </c>
      <c r="C35" s="72" t="s">
        <v>370</v>
      </c>
      <c r="D35" s="676">
        <v>0.01</v>
      </c>
      <c r="E35" s="72">
        <v>8</v>
      </c>
      <c r="F35" s="678" t="s">
        <v>30</v>
      </c>
      <c r="G35" s="72"/>
      <c r="H35" s="72"/>
      <c r="I35" s="82">
        <v>2</v>
      </c>
      <c r="J35" s="74">
        <f>I35*D35</f>
        <v>0.02</v>
      </c>
      <c r="K35" s="56"/>
      <c r="L35" s="56"/>
      <c r="M35" s="56"/>
      <c r="N35" s="56"/>
      <c r="O35" s="62"/>
    </row>
    <row r="36" spans="1:15" x14ac:dyDescent="0.3">
      <c r="A36" s="72">
        <v>30</v>
      </c>
      <c r="B36" s="72" t="s">
        <v>372</v>
      </c>
      <c r="C36" s="72" t="s">
        <v>370</v>
      </c>
      <c r="D36" s="676">
        <f>0.009*EXP(0.2*E36)</f>
        <v>4.4577291819556032E-2</v>
      </c>
      <c r="E36" s="72">
        <v>8</v>
      </c>
      <c r="F36" s="678" t="s">
        <v>30</v>
      </c>
      <c r="G36" s="72"/>
      <c r="H36" s="72"/>
      <c r="I36" s="82">
        <v>1</v>
      </c>
      <c r="J36" s="74">
        <f>I36*D36</f>
        <v>4.4577291819556032E-2</v>
      </c>
      <c r="K36" s="56"/>
      <c r="L36" s="56"/>
      <c r="M36" s="56"/>
      <c r="N36" s="56"/>
      <c r="O36" s="62"/>
    </row>
    <row r="37" spans="1:15" x14ac:dyDescent="0.3">
      <c r="A37" s="67"/>
      <c r="B37" s="24"/>
      <c r="C37" s="24"/>
      <c r="D37" s="24"/>
      <c r="E37" s="24"/>
      <c r="F37" s="24"/>
      <c r="G37" s="24"/>
      <c r="H37" s="24"/>
      <c r="I37" s="101" t="s">
        <v>18</v>
      </c>
      <c r="J37" s="100">
        <f>SUM(J34:J36)</f>
        <v>0.20389541514008255</v>
      </c>
      <c r="K37" s="56"/>
      <c r="L37" s="56"/>
      <c r="M37" s="56"/>
      <c r="N37" s="56"/>
      <c r="O37" s="62"/>
    </row>
    <row r="38" spans="1:15" x14ac:dyDescent="0.3">
      <c r="A38" s="63"/>
      <c r="B38" s="56"/>
      <c r="C38" s="56"/>
      <c r="D38" s="56"/>
      <c r="E38" s="56"/>
      <c r="F38" s="56"/>
      <c r="G38" s="56"/>
      <c r="H38" s="56"/>
      <c r="I38" s="56"/>
      <c r="J38" s="56"/>
      <c r="K38" s="56"/>
      <c r="L38" s="56"/>
      <c r="M38" s="56"/>
      <c r="N38" s="56"/>
      <c r="O38" s="62"/>
    </row>
    <row r="39" spans="1:15" x14ac:dyDescent="0.3">
      <c r="A39" s="98" t="s">
        <v>14</v>
      </c>
      <c r="B39" s="98" t="s">
        <v>250</v>
      </c>
      <c r="C39" s="98" t="s">
        <v>20</v>
      </c>
      <c r="D39" s="98" t="s">
        <v>21</v>
      </c>
      <c r="E39" s="98" t="s">
        <v>32</v>
      </c>
      <c r="F39" s="98" t="s">
        <v>17</v>
      </c>
      <c r="G39" s="98" t="s">
        <v>251</v>
      </c>
      <c r="H39" s="98" t="s">
        <v>252</v>
      </c>
      <c r="I39" s="98" t="s">
        <v>18</v>
      </c>
      <c r="J39" s="24"/>
      <c r="K39" s="56"/>
      <c r="L39" s="56"/>
      <c r="M39" s="56"/>
      <c r="N39" s="56"/>
      <c r="O39" s="62"/>
    </row>
    <row r="40" spans="1:15" x14ac:dyDescent="0.3">
      <c r="A40" s="72">
        <v>10</v>
      </c>
      <c r="B40" s="72" t="s">
        <v>253</v>
      </c>
      <c r="C40" s="679" t="s">
        <v>501</v>
      </c>
      <c r="D40" s="74">
        <v>500</v>
      </c>
      <c r="E40" s="72" t="s">
        <v>255</v>
      </c>
      <c r="F40" s="72">
        <v>2</v>
      </c>
      <c r="G40" s="72">
        <v>3000</v>
      </c>
      <c r="H40" s="72">
        <v>1</v>
      </c>
      <c r="I40" s="74">
        <f>D40*F40/G40*H40</f>
        <v>0.33333333333333331</v>
      </c>
      <c r="J40" s="24"/>
      <c r="K40" s="56"/>
      <c r="L40" s="56"/>
      <c r="M40" s="56"/>
      <c r="N40" s="56"/>
      <c r="O40" s="62"/>
    </row>
    <row r="41" spans="1:15" x14ac:dyDescent="0.3">
      <c r="A41" s="67"/>
      <c r="B41" s="24"/>
      <c r="C41" s="24"/>
      <c r="D41" s="24"/>
      <c r="E41" s="24"/>
      <c r="F41" s="24"/>
      <c r="G41" s="24"/>
      <c r="H41" s="265" t="s">
        <v>18</v>
      </c>
      <c r="I41" s="244">
        <f>SUM(I40:I40)</f>
        <v>0.33333333333333331</v>
      </c>
      <c r="J41" s="24"/>
      <c r="K41" s="56"/>
      <c r="L41" s="56"/>
      <c r="M41" s="56"/>
      <c r="N41" s="56"/>
      <c r="O41" s="62"/>
    </row>
    <row r="42" spans="1:15" ht="15" thickBot="1" x14ac:dyDescent="0.35">
      <c r="A42" s="69"/>
      <c r="B42" s="70"/>
      <c r="C42" s="70"/>
      <c r="D42" s="70"/>
      <c r="E42" s="70"/>
      <c r="F42" s="70"/>
      <c r="G42" s="70"/>
      <c r="H42" s="70"/>
      <c r="I42" s="70"/>
      <c r="J42" s="70"/>
      <c r="K42" s="70"/>
      <c r="L42" s="70"/>
      <c r="M42" s="70"/>
      <c r="N42" s="70"/>
      <c r="O42" s="71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  <row r="46" spans="1:15" x14ac:dyDescent="0.3">
      <c r="B46" s="56"/>
      <c r="C46" s="680"/>
      <c r="D46" s="680"/>
      <c r="E46" s="56"/>
    </row>
    <row r="47" spans="1:15" x14ac:dyDescent="0.3">
      <c r="B47" s="56"/>
      <c r="C47" s="680"/>
      <c r="D47" s="680"/>
      <c r="E47" s="56"/>
    </row>
    <row r="48" spans="1:15" x14ac:dyDescent="0.3">
      <c r="B48" s="56"/>
      <c r="C48" s="681"/>
      <c r="D48" s="680"/>
      <c r="E48" s="56"/>
    </row>
    <row r="49" spans="2:5" x14ac:dyDescent="0.3">
      <c r="B49" s="56"/>
      <c r="C49" s="681"/>
      <c r="D49" s="680"/>
      <c r="E49" s="56"/>
    </row>
    <row r="50" spans="2:5" x14ac:dyDescent="0.3">
      <c r="B50" s="56"/>
      <c r="C50" s="681"/>
      <c r="D50" s="680"/>
      <c r="E50" s="56"/>
    </row>
    <row r="51" spans="2:5" x14ac:dyDescent="0.3">
      <c r="B51" s="56"/>
      <c r="C51" s="681"/>
      <c r="D51" s="680"/>
      <c r="E51" s="56"/>
    </row>
    <row r="52" spans="2:5" x14ac:dyDescent="0.3">
      <c r="B52" s="56"/>
      <c r="C52" s="681"/>
      <c r="D52" s="680"/>
      <c r="E52" s="56"/>
    </row>
    <row r="53" spans="2:5" x14ac:dyDescent="0.3">
      <c r="B53" s="56"/>
      <c r="C53" s="56"/>
      <c r="D53" s="56"/>
      <c r="E53" s="56"/>
    </row>
    <row r="54" spans="2:5" x14ac:dyDescent="0.3">
      <c r="B54" s="56"/>
      <c r="C54" s="56"/>
      <c r="D54" s="56"/>
      <c r="E54" s="56"/>
    </row>
    <row r="55" spans="2:5" x14ac:dyDescent="0.3">
      <c r="B55" s="56"/>
      <c r="C55" s="56"/>
      <c r="D55" s="56"/>
      <c r="E55" s="56"/>
    </row>
  </sheetData>
  <hyperlinks>
    <hyperlink ref="B10" location="SU_05001" display="Shock Front Bracket"/>
    <hyperlink ref="E2" location="SU_A05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2" max="16383" man="1"/>
  </rowBreaks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3"/>
  <sheetViews>
    <sheetView zoomScale="75" zoomScaleNormal="75" workbookViewId="0">
      <selection activeCell="N4" sqref="N4"/>
    </sheetView>
  </sheetViews>
  <sheetFormatPr baseColWidth="10" defaultColWidth="9.109375" defaultRowHeight="14.4" x14ac:dyDescent="0.3"/>
  <cols>
    <col min="2" max="2" width="17.109375" customWidth="1"/>
    <col min="3" max="3" width="17" customWidth="1"/>
    <col min="7" max="7" width="15.21875" customWidth="1"/>
    <col min="9" max="9" width="26.21875" customWidth="1"/>
    <col min="10" max="10" width="12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SU_05001_m+SU_05001_p</f>
        <v>5.9234014172552163</v>
      </c>
      <c r="O2" s="62"/>
    </row>
    <row r="3" spans="1:15" x14ac:dyDescent="0.3">
      <c r="A3" s="102" t="s">
        <v>3</v>
      </c>
      <c r="B3" s="16" t="str">
        <f>'SU A0500'!B3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tr">
        <f>'SU A0500'!B4</f>
        <v>Front suspension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18" t="s">
        <v>346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5.9234014172552163</v>
      </c>
      <c r="O5" s="62"/>
    </row>
    <row r="6" spans="1:15" x14ac:dyDescent="0.3">
      <c r="A6" s="102" t="s">
        <v>7</v>
      </c>
      <c r="B6" t="s">
        <v>382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 t="s">
        <v>374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s="22" customFormat="1" x14ac:dyDescent="0.3">
      <c r="A11" s="85">
        <v>10</v>
      </c>
      <c r="B11" s="682" t="s">
        <v>375</v>
      </c>
      <c r="C11" s="20" t="s">
        <v>376</v>
      </c>
      <c r="D11" s="289">
        <v>2.25</v>
      </c>
      <c r="E11" s="683">
        <f>J11*K11*L11</f>
        <v>0.17182285211342935</v>
      </c>
      <c r="F11" s="20" t="s">
        <v>212</v>
      </c>
      <c r="G11" s="20"/>
      <c r="H11" s="290"/>
      <c r="I11" s="21" t="s">
        <v>377</v>
      </c>
      <c r="J11" s="684">
        <f>PI()*0.0155^2</f>
        <v>7.5476763502494771E-4</v>
      </c>
      <c r="K11" s="685">
        <v>2.9000000000000001E-2</v>
      </c>
      <c r="L11" s="686">
        <v>7850</v>
      </c>
      <c r="M11" s="23">
        <v>1</v>
      </c>
      <c r="N11" s="289">
        <f>E11*D11</f>
        <v>0.38660141725521602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0.38660141725521602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687"/>
      <c r="L14" s="24"/>
      <c r="M14" s="24"/>
      <c r="N14" s="24"/>
      <c r="O14" s="62"/>
    </row>
    <row r="15" spans="1:15" s="25" customFormat="1" ht="28.8" x14ac:dyDescent="0.3">
      <c r="A15" s="696">
        <v>10</v>
      </c>
      <c r="B15" s="699" t="s">
        <v>39</v>
      </c>
      <c r="C15" s="697" t="s">
        <v>134</v>
      </c>
      <c r="D15" s="698">
        <v>1.3</v>
      </c>
      <c r="E15" s="699" t="s">
        <v>35</v>
      </c>
      <c r="F15" s="700">
        <v>1</v>
      </c>
      <c r="G15" s="700"/>
      <c r="H15" s="31"/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68"/>
    </row>
    <row r="16" spans="1:15" x14ac:dyDescent="0.3">
      <c r="A16" s="701">
        <v>11</v>
      </c>
      <c r="B16" s="699" t="s">
        <v>159</v>
      </c>
      <c r="C16" s="702" t="s">
        <v>378</v>
      </c>
      <c r="D16" s="703">
        <v>0.04</v>
      </c>
      <c r="E16" s="702" t="s">
        <v>161</v>
      </c>
      <c r="F16" s="704">
        <v>2.64</v>
      </c>
      <c r="G16" s="699" t="s">
        <v>379</v>
      </c>
      <c r="H16" s="26">
        <v>3</v>
      </c>
      <c r="I16" s="289">
        <f t="shared" si="0"/>
        <v>0.31680000000000003</v>
      </c>
      <c r="J16" s="56"/>
      <c r="K16" s="56"/>
      <c r="L16" s="56"/>
      <c r="M16" s="56"/>
      <c r="N16" s="56"/>
      <c r="O16" s="62"/>
    </row>
    <row r="17" spans="1:15" s="17" customFormat="1" ht="28.8" x14ac:dyDescent="0.3">
      <c r="A17" s="701">
        <v>20</v>
      </c>
      <c r="B17" s="699" t="s">
        <v>380</v>
      </c>
      <c r="C17" s="702"/>
      <c r="D17" s="703">
        <v>0.65</v>
      </c>
      <c r="E17" s="699"/>
      <c r="F17" s="702">
        <v>1</v>
      </c>
      <c r="G17" s="702"/>
      <c r="H17" s="26"/>
      <c r="I17" s="289">
        <f t="shared" si="0"/>
        <v>0.65</v>
      </c>
      <c r="J17" s="57"/>
      <c r="K17" s="57"/>
      <c r="L17" s="57"/>
      <c r="M17" s="57"/>
      <c r="N17" s="57"/>
      <c r="O17" s="65"/>
    </row>
    <row r="18" spans="1:15" x14ac:dyDescent="0.3">
      <c r="A18" s="701">
        <v>21</v>
      </c>
      <c r="B18" s="699" t="s">
        <v>159</v>
      </c>
      <c r="C18" s="702" t="s">
        <v>378</v>
      </c>
      <c r="D18" s="703">
        <v>0.04</v>
      </c>
      <c r="E18" s="702" t="s">
        <v>161</v>
      </c>
      <c r="F18" s="704">
        <v>9.1999999999999993</v>
      </c>
      <c r="G18" s="699" t="s">
        <v>379</v>
      </c>
      <c r="H18" s="26">
        <v>3</v>
      </c>
      <c r="I18" s="289">
        <f t="shared" si="0"/>
        <v>1.1040000000000001</v>
      </c>
      <c r="J18" s="56"/>
      <c r="K18" s="56"/>
      <c r="L18" s="56"/>
      <c r="M18" s="56"/>
      <c r="N18" s="56"/>
      <c r="O18" s="62"/>
    </row>
    <row r="19" spans="1:15" ht="28.8" x14ac:dyDescent="0.3">
      <c r="A19" s="701">
        <v>22</v>
      </c>
      <c r="B19" s="699" t="s">
        <v>380</v>
      </c>
      <c r="C19" s="702"/>
      <c r="D19" s="703">
        <v>0.65</v>
      </c>
      <c r="E19" s="699"/>
      <c r="F19" s="702">
        <v>1</v>
      </c>
      <c r="G19" s="702"/>
      <c r="H19" s="26"/>
      <c r="I19" s="289">
        <f t="shared" si="0"/>
        <v>0.65</v>
      </c>
      <c r="J19" s="56"/>
      <c r="K19" s="56"/>
      <c r="L19" s="56"/>
      <c r="M19" s="56"/>
      <c r="N19" s="56"/>
      <c r="O19" s="62"/>
    </row>
    <row r="20" spans="1:15" x14ac:dyDescent="0.3">
      <c r="A20" s="701">
        <v>23</v>
      </c>
      <c r="B20" s="699" t="s">
        <v>159</v>
      </c>
      <c r="C20" s="702" t="s">
        <v>378</v>
      </c>
      <c r="D20" s="703">
        <v>0.04</v>
      </c>
      <c r="E20" s="702" t="s">
        <v>161</v>
      </c>
      <c r="F20" s="704">
        <v>6.8</v>
      </c>
      <c r="G20" s="699" t="s">
        <v>379</v>
      </c>
      <c r="H20" s="26">
        <v>3</v>
      </c>
      <c r="I20" s="289">
        <f>IF(H20="",D20*F20,D20*F20*H20)</f>
        <v>0.81600000000000006</v>
      </c>
      <c r="J20" s="56"/>
      <c r="K20" s="56"/>
      <c r="L20" s="56"/>
      <c r="M20" s="56"/>
      <c r="N20" s="56"/>
      <c r="O20" s="62"/>
    </row>
    <row r="21" spans="1:15" ht="28.8" x14ac:dyDescent="0.3">
      <c r="A21" s="702">
        <v>30</v>
      </c>
      <c r="B21" s="307" t="s">
        <v>381</v>
      </c>
      <c r="C21" s="702" t="s">
        <v>378</v>
      </c>
      <c r="D21" s="703">
        <v>0.35</v>
      </c>
      <c r="E21" s="702" t="s">
        <v>271</v>
      </c>
      <c r="F21" s="704">
        <v>2</v>
      </c>
      <c r="G21" s="699"/>
      <c r="H21" s="689"/>
      <c r="I21" s="690">
        <f>IF(H21="",D21*F21,D21*F21*H21)</f>
        <v>0.7</v>
      </c>
      <c r="J21" s="56"/>
      <c r="K21" s="56"/>
      <c r="L21" s="56"/>
      <c r="M21" s="56"/>
      <c r="N21" s="56"/>
      <c r="O21" s="62"/>
    </row>
    <row r="22" spans="1:15" x14ac:dyDescent="0.3">
      <c r="A22" s="67"/>
      <c r="B22" s="24"/>
      <c r="C22" s="24"/>
      <c r="D22" s="24"/>
      <c r="E22" s="24"/>
      <c r="F22" s="24"/>
      <c r="G22" s="24"/>
      <c r="H22" s="111" t="s">
        <v>18</v>
      </c>
      <c r="I22" s="109">
        <f>SUM(I15:I21)</f>
        <v>5.5368000000000004</v>
      </c>
      <c r="J22" s="24"/>
      <c r="K22" s="24"/>
      <c r="L22" s="24"/>
      <c r="M22" s="24"/>
      <c r="N22" s="24"/>
      <c r="O22" s="62"/>
    </row>
    <row r="23" spans="1:15" ht="15" thickBot="1" x14ac:dyDescent="0.35">
      <c r="A23" s="69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1"/>
    </row>
  </sheetData>
  <hyperlinks>
    <hyperlink ref="B4" location="SU_A0500" display="SU_A0500"/>
    <hyperlink ref="E3" location="dSU_05001" display="Drawing"/>
    <hyperlink ref="G2" location="SU_A05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3" max="16383" man="1"/>
    <brk id="57" max="16383" man="1"/>
  </rowBreaks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s="287" t="s">
        <v>195</v>
      </c>
      <c r="B1" s="287" t="s">
        <v>383</v>
      </c>
    </row>
  </sheetData>
  <hyperlinks>
    <hyperlink ref="A1" location="EL_01001" display="Drawing part :"/>
    <hyperlink ref="B1" location="SU_05001" display="SU_05001"/>
  </hyperlinks>
  <pageMargins left="0.7" right="0.7" top="0.75" bottom="0.75" header="0.3" footer="0.3"/>
  <pageSetup paperSize="9" fitToHeight="0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view="pageBreakPreview" zoomScale="60" zoomScaleNormal="80" workbookViewId="0">
      <selection activeCell="B4" sqref="B4"/>
    </sheetView>
  </sheetViews>
  <sheetFormatPr baseColWidth="10" defaultRowHeight="14.4" x14ac:dyDescent="0.3"/>
  <cols>
    <col min="2" max="2" width="33.88671875" customWidth="1"/>
    <col min="3" max="3" width="17.109375" customWidth="1"/>
    <col min="5" max="5" width="10.218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7.1887787999999988</v>
      </c>
      <c r="O2" s="62"/>
    </row>
    <row r="3" spans="1:15" x14ac:dyDescent="0.3">
      <c r="A3" s="102" t="s">
        <v>3</v>
      </c>
      <c r="B3" s="16" t="str">
        <f>'SU A0100'!B3</f>
        <v>Suspension &amp; Shocks</v>
      </c>
      <c r="C3" s="56"/>
      <c r="D3" s="102" t="s">
        <v>6</v>
      </c>
      <c r="E3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tr">
        <f>'SU A0100'!B4</f>
        <v>Upper Front A-arm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73" t="s">
        <v>153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7.1887787999999988</v>
      </c>
      <c r="O5" s="62"/>
    </row>
    <row r="6" spans="1:15" x14ac:dyDescent="0.3">
      <c r="A6" s="102" t="s">
        <v>7</v>
      </c>
      <c r="B6" s="28" t="s">
        <v>174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v>200</v>
      </c>
      <c r="E11" s="21">
        <f>J11*K11*L11</f>
        <v>3.1950127999999994E-2</v>
      </c>
      <c r="F11" s="20" t="s">
        <v>162</v>
      </c>
      <c r="G11" s="20"/>
      <c r="H11" s="19"/>
      <c r="I11" s="21" t="s">
        <v>164</v>
      </c>
      <c r="J11" s="253">
        <f>3.14*(0.008*0.008-0.006*0.006)</f>
        <v>8.7919999999999985E-5</v>
      </c>
      <c r="K11" s="75">
        <v>0.23</v>
      </c>
      <c r="L11" s="79">
        <v>1580</v>
      </c>
      <c r="M11" s="147">
        <v>1</v>
      </c>
      <c r="N11" s="30">
        <f>D11*M11*E11</f>
        <v>6.3900255999999986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6.3900255999999986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64">
        <f>J11*K11*L11</f>
        <v>3.1950127999999994E-2</v>
      </c>
      <c r="G15" s="221"/>
      <c r="H15" s="221"/>
      <c r="I15" s="224">
        <f>IF(H15="",D15*F15,D15*F15*H15)</f>
        <v>0.79875319999999983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0.79875319999999983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'SU A0100'!A1" display="'SU A0100'!A1"/>
    <hyperlink ref="G2" location="SU_A0100_BOM" display="Back to BOM"/>
  </hyperlinks>
  <pageMargins left="0.7" right="0.7" top="0.75" bottom="0.75" header="0.3" footer="0.3"/>
  <pageSetup paperSize="9" scale="41" orientation="portrait" r:id="rId1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4"/>
  <sheetViews>
    <sheetView zoomScale="75" zoomScaleNormal="75" zoomScaleSheetLayoutView="80" workbookViewId="0">
      <selection activeCell="B10" sqref="B10"/>
    </sheetView>
  </sheetViews>
  <sheetFormatPr baseColWidth="10" defaultColWidth="9.109375" defaultRowHeight="14.4" x14ac:dyDescent="0.3"/>
  <cols>
    <col min="2" max="2" width="32.44140625" customWidth="1"/>
    <col min="3" max="3" width="45.88671875" customWidth="1"/>
    <col min="15" max="15" width="5.3320312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720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SU_A0600_pa+SU_A0600_m+SU_A0600_p+SU_A0600_f+SU_A0600_t</f>
        <v>12.856091357590071</v>
      </c>
      <c r="O2" s="276"/>
    </row>
    <row r="3" spans="1:15" x14ac:dyDescent="0.3">
      <c r="A3" s="720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276"/>
    </row>
    <row r="4" spans="1:15" x14ac:dyDescent="0.3">
      <c r="A4" s="720" t="s">
        <v>5</v>
      </c>
      <c r="B4" s="57" t="s">
        <v>389</v>
      </c>
      <c r="C4" s="721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276"/>
    </row>
    <row r="5" spans="1:15" x14ac:dyDescent="0.3">
      <c r="A5" s="720" t="s">
        <v>7</v>
      </c>
      <c r="B5" s="18" t="s">
        <v>390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N2*N3</f>
        <v>25.712182715180141</v>
      </c>
      <c r="O5" s="276"/>
    </row>
    <row r="6" spans="1:15" x14ac:dyDescent="0.3">
      <c r="A6" s="720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276"/>
    </row>
    <row r="7" spans="1:15" x14ac:dyDescent="0.3">
      <c r="A7" s="720" t="s">
        <v>13</v>
      </c>
      <c r="B7" s="16" t="s">
        <v>391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76"/>
    </row>
    <row r="8" spans="1:15" x14ac:dyDescent="0.3">
      <c r="A8" s="722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76"/>
    </row>
    <row r="9" spans="1:15" x14ac:dyDescent="0.3">
      <c r="A9" s="723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276"/>
    </row>
    <row r="10" spans="1:15" x14ac:dyDescent="0.3">
      <c r="A10" s="724">
        <v>10</v>
      </c>
      <c r="B10" s="725" t="s">
        <v>385</v>
      </c>
      <c r="C10" s="289">
        <f>'SU 06001'!N2</f>
        <v>1.3710986506763019</v>
      </c>
      <c r="D10" s="726">
        <f>SU_06001_q</f>
        <v>2</v>
      </c>
      <c r="E10" s="289">
        <f>C10*D10</f>
        <v>2.7421973013526038</v>
      </c>
      <c r="F10" s="56"/>
      <c r="G10" s="56"/>
      <c r="H10" s="56"/>
      <c r="I10" s="56"/>
      <c r="J10" s="56"/>
      <c r="K10" s="56"/>
      <c r="L10" s="56"/>
      <c r="M10" s="56"/>
      <c r="N10" s="56"/>
      <c r="O10" s="276"/>
    </row>
    <row r="11" spans="1:15" x14ac:dyDescent="0.3">
      <c r="A11" s="724">
        <v>20</v>
      </c>
      <c r="B11" s="727" t="s">
        <v>386</v>
      </c>
      <c r="C11" s="289">
        <f>'SU 06002'!N2</f>
        <v>1.5427786126391492</v>
      </c>
      <c r="D11" s="688">
        <f>SU_06002_q</f>
        <v>1</v>
      </c>
      <c r="E11" s="289">
        <f>C11*D11</f>
        <v>1.5427786126391492</v>
      </c>
      <c r="F11" s="57"/>
      <c r="G11" s="57"/>
      <c r="H11" s="57"/>
      <c r="I11" s="57"/>
      <c r="J11" s="57"/>
      <c r="K11" s="57"/>
      <c r="L11" s="57"/>
      <c r="M11" s="57"/>
      <c r="N11" s="57"/>
      <c r="O11" s="276"/>
    </row>
    <row r="12" spans="1:15" x14ac:dyDescent="0.3">
      <c r="A12" s="724">
        <v>30</v>
      </c>
      <c r="B12" s="728" t="s">
        <v>387</v>
      </c>
      <c r="C12" s="289">
        <f>'SU 06003'!N2</f>
        <v>0.88140624999999995</v>
      </c>
      <c r="D12" s="688">
        <f>SU_06003_q</f>
        <v>2</v>
      </c>
      <c r="E12" s="289">
        <f>C12*D12</f>
        <v>1.7628124999999999</v>
      </c>
      <c r="F12" s="57"/>
      <c r="G12" s="57"/>
      <c r="H12" s="57"/>
      <c r="I12" s="57"/>
      <c r="J12" s="57"/>
      <c r="K12" s="57"/>
      <c r="L12" s="57"/>
      <c r="M12" s="57"/>
      <c r="N12" s="57"/>
      <c r="O12" s="729"/>
    </row>
    <row r="13" spans="1:15" x14ac:dyDescent="0.3">
      <c r="A13" s="730">
        <v>40</v>
      </c>
      <c r="B13" s="725" t="s">
        <v>388</v>
      </c>
      <c r="C13" s="289">
        <f>'SU 06004'!N2</f>
        <v>2.2702062500000002</v>
      </c>
      <c r="D13" s="26">
        <f>SU_06004_q</f>
        <v>2</v>
      </c>
      <c r="E13" s="289">
        <f>C13*D13</f>
        <v>4.5404125000000004</v>
      </c>
      <c r="F13" s="56"/>
      <c r="G13" s="56"/>
      <c r="H13" s="56"/>
      <c r="I13" s="56"/>
      <c r="J13" s="56"/>
      <c r="K13" s="56"/>
      <c r="L13" s="56"/>
      <c r="M13" s="56"/>
      <c r="N13" s="56"/>
      <c r="O13" s="276"/>
    </row>
    <row r="14" spans="1:15" x14ac:dyDescent="0.3">
      <c r="A14" s="722"/>
      <c r="B14" s="56"/>
      <c r="C14" s="56"/>
      <c r="D14" s="265" t="s">
        <v>18</v>
      </c>
      <c r="E14" s="244">
        <f>SUM(E10:E13)</f>
        <v>10.588200913991752</v>
      </c>
      <c r="F14" s="57"/>
      <c r="G14" s="57"/>
      <c r="H14" s="57"/>
      <c r="I14" s="57"/>
      <c r="J14" s="57"/>
      <c r="K14" s="57"/>
      <c r="L14" s="57"/>
      <c r="M14" s="57"/>
      <c r="N14" s="57"/>
      <c r="O14" s="276"/>
    </row>
    <row r="15" spans="1:15" x14ac:dyDescent="0.3">
      <c r="A15" s="722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276"/>
    </row>
    <row r="16" spans="1:15" x14ac:dyDescent="0.3">
      <c r="A16" s="720" t="s">
        <v>14</v>
      </c>
      <c r="B16" s="98" t="s">
        <v>19</v>
      </c>
      <c r="C16" s="98" t="s">
        <v>20</v>
      </c>
      <c r="D16" s="98" t="s">
        <v>21</v>
      </c>
      <c r="E16" s="98" t="s">
        <v>22</v>
      </c>
      <c r="F16" s="98" t="s">
        <v>23</v>
      </c>
      <c r="G16" s="98" t="s">
        <v>24</v>
      </c>
      <c r="H16" s="98" t="s">
        <v>25</v>
      </c>
      <c r="I16" s="98" t="s">
        <v>26</v>
      </c>
      <c r="J16" s="98" t="s">
        <v>27</v>
      </c>
      <c r="K16" s="98" t="s">
        <v>28</v>
      </c>
      <c r="L16" s="98" t="s">
        <v>29</v>
      </c>
      <c r="M16" s="98" t="s">
        <v>17</v>
      </c>
      <c r="N16" s="98" t="s">
        <v>18</v>
      </c>
      <c r="O16" s="276"/>
    </row>
    <row r="17" spans="1:15" x14ac:dyDescent="0.3">
      <c r="A17" s="731">
        <v>10</v>
      </c>
      <c r="B17" s="72" t="s">
        <v>350</v>
      </c>
      <c r="C17" s="72" t="s">
        <v>392</v>
      </c>
      <c r="D17" s="74">
        <v>10</v>
      </c>
      <c r="E17" s="72">
        <v>3.0000000000000001E-3</v>
      </c>
      <c r="F17" s="72" t="s">
        <v>276</v>
      </c>
      <c r="G17" s="72"/>
      <c r="H17" s="75"/>
      <c r="I17" s="76"/>
      <c r="J17" s="77"/>
      <c r="K17" s="75"/>
      <c r="L17" s="75"/>
      <c r="M17" s="81">
        <v>1</v>
      </c>
      <c r="N17" s="74">
        <f>M17*D17*E17</f>
        <v>0.03</v>
      </c>
      <c r="O17" s="276"/>
    </row>
    <row r="18" spans="1:15" s="22" customFormat="1" x14ac:dyDescent="0.3">
      <c r="A18" s="731">
        <v>20</v>
      </c>
      <c r="B18" s="72" t="s">
        <v>350</v>
      </c>
      <c r="C18" s="732" t="s">
        <v>393</v>
      </c>
      <c r="D18" s="74">
        <v>10</v>
      </c>
      <c r="E18" s="733">
        <v>6.0000000000000001E-3</v>
      </c>
      <c r="F18" s="733" t="s">
        <v>276</v>
      </c>
      <c r="G18" s="733"/>
      <c r="H18" s="75"/>
      <c r="I18" s="734"/>
      <c r="J18" s="97"/>
      <c r="K18" s="78"/>
      <c r="L18" s="79"/>
      <c r="M18" s="81">
        <v>1</v>
      </c>
      <c r="N18" s="74">
        <f>M18*D18*E18</f>
        <v>0.06</v>
      </c>
      <c r="O18" s="735"/>
    </row>
    <row r="19" spans="1:15" x14ac:dyDescent="0.3">
      <c r="A19" s="736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8" t="s">
        <v>18</v>
      </c>
      <c r="N19" s="100">
        <f>SUM(N17:N18)</f>
        <v>0.09</v>
      </c>
      <c r="O19" s="276"/>
    </row>
    <row r="20" spans="1:15" x14ac:dyDescent="0.3">
      <c r="A20" s="722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276"/>
    </row>
    <row r="21" spans="1:15" s="25" customFormat="1" x14ac:dyDescent="0.3">
      <c r="A21" s="720" t="s">
        <v>14</v>
      </c>
      <c r="B21" s="98" t="s">
        <v>31</v>
      </c>
      <c r="C21" s="98" t="s">
        <v>20</v>
      </c>
      <c r="D21" s="98" t="s">
        <v>21</v>
      </c>
      <c r="E21" s="98" t="s">
        <v>32</v>
      </c>
      <c r="F21" s="98" t="s">
        <v>17</v>
      </c>
      <c r="G21" s="98" t="s">
        <v>33</v>
      </c>
      <c r="H21" s="98" t="s">
        <v>34</v>
      </c>
      <c r="I21" s="98" t="s">
        <v>18</v>
      </c>
      <c r="J21" s="24"/>
      <c r="K21" s="24"/>
      <c r="L21" s="24"/>
      <c r="M21" s="24"/>
      <c r="N21" s="24"/>
      <c r="O21" s="737"/>
    </row>
    <row r="22" spans="1:15" x14ac:dyDescent="0.3">
      <c r="A22" s="731">
        <v>10</v>
      </c>
      <c r="B22" s="72" t="s">
        <v>231</v>
      </c>
      <c r="C22" s="72" t="s">
        <v>394</v>
      </c>
      <c r="D22" s="74">
        <v>0.15</v>
      </c>
      <c r="E22" s="72" t="s">
        <v>40</v>
      </c>
      <c r="F22" s="738">
        <v>10</v>
      </c>
      <c r="G22" s="738"/>
      <c r="H22" s="738"/>
      <c r="I22" s="74">
        <f t="shared" ref="I22:I31" si="0">IF(H22="",D22*F22,D22*F22*H22)</f>
        <v>1.5</v>
      </c>
      <c r="J22" s="56"/>
      <c r="K22" s="56"/>
      <c r="L22" s="56"/>
      <c r="M22" s="56"/>
      <c r="N22" s="56"/>
      <c r="O22" s="276"/>
    </row>
    <row r="23" spans="1:15" x14ac:dyDescent="0.3">
      <c r="A23" s="731">
        <v>20</v>
      </c>
      <c r="B23" s="739" t="s">
        <v>354</v>
      </c>
      <c r="C23" s="72" t="s">
        <v>395</v>
      </c>
      <c r="D23" s="74">
        <v>5.25</v>
      </c>
      <c r="E23" s="739" t="s">
        <v>276</v>
      </c>
      <c r="F23" s="738">
        <v>6.0000000000000001E-3</v>
      </c>
      <c r="G23" s="72"/>
      <c r="H23" s="72"/>
      <c r="I23" s="74">
        <f t="shared" si="0"/>
        <v>3.15E-2</v>
      </c>
      <c r="J23" s="56"/>
      <c r="K23" s="56"/>
      <c r="L23" s="56"/>
      <c r="M23" s="56"/>
      <c r="N23" s="56"/>
      <c r="O23" s="276"/>
    </row>
    <row r="24" spans="1:15" x14ac:dyDescent="0.3">
      <c r="A24" s="731">
        <v>30</v>
      </c>
      <c r="B24" s="739" t="s">
        <v>354</v>
      </c>
      <c r="C24" s="72" t="s">
        <v>396</v>
      </c>
      <c r="D24" s="74">
        <v>5.25</v>
      </c>
      <c r="E24" s="72" t="s">
        <v>276</v>
      </c>
      <c r="F24" s="738">
        <v>1.2E-2</v>
      </c>
      <c r="G24" s="72"/>
      <c r="H24" s="72"/>
      <c r="I24" s="74">
        <f t="shared" si="0"/>
        <v>6.3E-2</v>
      </c>
      <c r="J24" s="56"/>
      <c r="K24" s="56"/>
      <c r="L24" s="56"/>
      <c r="M24" s="56"/>
      <c r="N24" s="56"/>
      <c r="O24" s="276"/>
    </row>
    <row r="25" spans="1:15" s="17" customFormat="1" x14ac:dyDescent="0.3">
      <c r="A25" s="731">
        <v>40</v>
      </c>
      <c r="B25" s="739" t="s">
        <v>225</v>
      </c>
      <c r="C25" s="72" t="s">
        <v>397</v>
      </c>
      <c r="D25" s="74">
        <v>0.06</v>
      </c>
      <c r="E25" s="72" t="s">
        <v>35</v>
      </c>
      <c r="F25" s="738">
        <v>1</v>
      </c>
      <c r="G25" s="72"/>
      <c r="H25" s="72"/>
      <c r="I25" s="74">
        <f t="shared" si="0"/>
        <v>0.06</v>
      </c>
      <c r="J25" s="57"/>
      <c r="K25" s="57"/>
      <c r="L25" s="57"/>
      <c r="M25" s="57"/>
      <c r="N25" s="57"/>
      <c r="O25" s="740"/>
    </row>
    <row r="26" spans="1:15" s="25" customFormat="1" x14ac:dyDescent="0.3">
      <c r="A26" s="731">
        <v>50</v>
      </c>
      <c r="B26" s="739" t="s">
        <v>225</v>
      </c>
      <c r="C26" s="72" t="s">
        <v>398</v>
      </c>
      <c r="D26" s="74">
        <v>0.06</v>
      </c>
      <c r="E26" s="72" t="s">
        <v>35</v>
      </c>
      <c r="F26" s="738">
        <v>1</v>
      </c>
      <c r="G26" s="738"/>
      <c r="H26" s="738"/>
      <c r="I26" s="74">
        <f t="shared" si="0"/>
        <v>0.06</v>
      </c>
      <c r="J26" s="57"/>
      <c r="K26" s="57"/>
      <c r="L26" s="57"/>
      <c r="M26" s="57"/>
      <c r="N26" s="57"/>
      <c r="O26" s="737"/>
    </row>
    <row r="27" spans="1:15" s="17" customFormat="1" ht="14.4" customHeight="1" x14ac:dyDescent="0.3">
      <c r="A27" s="741">
        <v>60</v>
      </c>
      <c r="B27" s="742" t="s">
        <v>225</v>
      </c>
      <c r="C27" s="742" t="s">
        <v>399</v>
      </c>
      <c r="D27" s="74">
        <v>0.06</v>
      </c>
      <c r="E27" s="742" t="s">
        <v>35</v>
      </c>
      <c r="F27" s="743">
        <v>1</v>
      </c>
      <c r="G27" s="238"/>
      <c r="H27" s="72"/>
      <c r="I27" s="74">
        <f t="shared" si="0"/>
        <v>0.06</v>
      </c>
      <c r="J27" s="57"/>
      <c r="K27" s="57"/>
      <c r="L27" s="57"/>
      <c r="M27" s="57"/>
      <c r="N27" s="57"/>
      <c r="O27" s="740"/>
    </row>
    <row r="28" spans="1:15" s="17" customFormat="1" ht="14.4" customHeight="1" x14ac:dyDescent="0.3">
      <c r="A28" s="724">
        <v>70</v>
      </c>
      <c r="B28" s="744" t="s">
        <v>363</v>
      </c>
      <c r="C28" s="666" t="s">
        <v>400</v>
      </c>
      <c r="D28" s="289">
        <v>0.12</v>
      </c>
      <c r="E28" s="27" t="s">
        <v>35</v>
      </c>
      <c r="F28" s="26">
        <v>1</v>
      </c>
      <c r="G28" s="688"/>
      <c r="H28" s="745"/>
      <c r="I28" s="74">
        <f t="shared" si="0"/>
        <v>0.12</v>
      </c>
      <c r="J28" s="57"/>
      <c r="K28" s="57"/>
      <c r="L28" s="57"/>
      <c r="M28" s="57"/>
      <c r="N28" s="57"/>
      <c r="O28" s="740"/>
    </row>
    <row r="29" spans="1:15" s="17" customFormat="1" ht="14.4" customHeight="1" x14ac:dyDescent="0.3">
      <c r="A29" s="724">
        <v>80</v>
      </c>
      <c r="B29" s="744" t="s">
        <v>363</v>
      </c>
      <c r="C29" s="746" t="s">
        <v>401</v>
      </c>
      <c r="D29" s="289">
        <v>0.12</v>
      </c>
      <c r="E29" s="27" t="s">
        <v>35</v>
      </c>
      <c r="F29" s="26">
        <v>1</v>
      </c>
      <c r="G29" s="688"/>
      <c r="H29" s="745"/>
      <c r="I29" s="74">
        <f t="shared" si="0"/>
        <v>0.12</v>
      </c>
      <c r="J29" s="57"/>
      <c r="K29" s="57"/>
      <c r="L29" s="57"/>
      <c r="M29" s="57"/>
      <c r="N29" s="57"/>
      <c r="O29" s="740"/>
    </row>
    <row r="30" spans="1:15" s="17" customFormat="1" ht="14.4" customHeight="1" x14ac:dyDescent="0.3">
      <c r="A30" s="724">
        <v>90</v>
      </c>
      <c r="B30" s="744" t="s">
        <v>366</v>
      </c>
      <c r="C30" s="746" t="s">
        <v>367</v>
      </c>
      <c r="D30" s="289">
        <v>0.75</v>
      </c>
      <c r="E30" s="27" t="s">
        <v>35</v>
      </c>
      <c r="F30" s="26">
        <v>1</v>
      </c>
      <c r="G30" s="688"/>
      <c r="H30" s="745"/>
      <c r="I30" s="74">
        <f t="shared" si="0"/>
        <v>0.75</v>
      </c>
      <c r="J30" s="57"/>
      <c r="K30" s="57"/>
      <c r="L30" s="57"/>
      <c r="M30" s="57"/>
      <c r="N30" s="57"/>
      <c r="O30" s="740"/>
    </row>
    <row r="31" spans="1:15" s="17" customFormat="1" ht="14.4" customHeight="1" x14ac:dyDescent="0.3">
      <c r="A31" s="724">
        <v>100</v>
      </c>
      <c r="B31" s="744" t="s">
        <v>368</v>
      </c>
      <c r="C31" s="746" t="s">
        <v>367</v>
      </c>
      <c r="D31" s="289">
        <v>0.25</v>
      </c>
      <c r="E31" s="27" t="s">
        <v>35</v>
      </c>
      <c r="F31" s="26">
        <v>1</v>
      </c>
      <c r="G31" s="688"/>
      <c r="H31" s="745"/>
      <c r="I31" s="74">
        <f t="shared" si="0"/>
        <v>0.25</v>
      </c>
      <c r="J31" s="57"/>
      <c r="K31" s="57"/>
      <c r="L31" s="57"/>
      <c r="M31" s="57"/>
      <c r="N31" s="57"/>
      <c r="O31" s="740"/>
    </row>
    <row r="32" spans="1:15" x14ac:dyDescent="0.3">
      <c r="A32" s="736"/>
      <c r="B32" s="24"/>
      <c r="C32" s="24"/>
      <c r="D32" s="24"/>
      <c r="E32" s="24"/>
      <c r="F32" s="24"/>
      <c r="G32" s="24"/>
      <c r="H32" s="101" t="s">
        <v>18</v>
      </c>
      <c r="I32" s="100">
        <f>SUM(I22:I24)</f>
        <v>1.5945</v>
      </c>
      <c r="J32" s="56"/>
      <c r="K32" s="56"/>
      <c r="L32" s="56"/>
      <c r="M32" s="56"/>
      <c r="N32" s="56"/>
      <c r="O32" s="276"/>
    </row>
    <row r="33" spans="1:15" x14ac:dyDescent="0.3">
      <c r="A33" s="722"/>
      <c r="B33" s="56"/>
      <c r="C33" s="56"/>
      <c r="D33" s="56"/>
      <c r="E33" s="56"/>
      <c r="F33" s="56"/>
      <c r="G33" s="56"/>
      <c r="H33" s="56"/>
      <c r="I33" s="56"/>
      <c r="J33" s="56"/>
      <c r="K33" s="56"/>
      <c r="L33" s="56"/>
      <c r="M33" s="56"/>
      <c r="N33" s="56"/>
      <c r="O33" s="276"/>
    </row>
    <row r="34" spans="1:15" x14ac:dyDescent="0.3">
      <c r="A34" s="720" t="s">
        <v>14</v>
      </c>
      <c r="B34" s="98" t="s">
        <v>36</v>
      </c>
      <c r="C34" s="98" t="s">
        <v>20</v>
      </c>
      <c r="D34" s="98" t="s">
        <v>21</v>
      </c>
      <c r="E34" s="98" t="s">
        <v>22</v>
      </c>
      <c r="F34" s="98" t="s">
        <v>23</v>
      </c>
      <c r="G34" s="98" t="s">
        <v>24</v>
      </c>
      <c r="H34" s="98" t="s">
        <v>25</v>
      </c>
      <c r="I34" s="98" t="s">
        <v>17</v>
      </c>
      <c r="J34" s="98" t="s">
        <v>18</v>
      </c>
      <c r="K34" s="56"/>
      <c r="L34" s="56"/>
      <c r="M34" s="56"/>
      <c r="N34" s="56"/>
      <c r="O34" s="276"/>
    </row>
    <row r="35" spans="1:15" x14ac:dyDescent="0.3">
      <c r="A35" s="731">
        <v>10</v>
      </c>
      <c r="B35" s="72" t="s">
        <v>369</v>
      </c>
      <c r="C35" s="72" t="s">
        <v>402</v>
      </c>
      <c r="D35" s="676">
        <f>0.8/105154*E35^2*G35*SQRT(G35)+0.003*EXP(0.319*E35)</f>
        <v>0.18547981844542938</v>
      </c>
      <c r="E35" s="677">
        <v>8</v>
      </c>
      <c r="F35" s="677" t="s">
        <v>30</v>
      </c>
      <c r="G35" s="677">
        <v>45</v>
      </c>
      <c r="H35" s="677" t="s">
        <v>30</v>
      </c>
      <c r="I35" s="82">
        <v>1</v>
      </c>
      <c r="J35" s="74">
        <f>D35*I35</f>
        <v>0.18547981844542938</v>
      </c>
      <c r="K35" s="56"/>
      <c r="L35" s="56"/>
      <c r="M35" s="56"/>
      <c r="N35" s="56"/>
      <c r="O35" s="276"/>
    </row>
    <row r="36" spans="1:15" x14ac:dyDescent="0.3">
      <c r="A36" s="731">
        <v>20</v>
      </c>
      <c r="B36" s="72" t="s">
        <v>371</v>
      </c>
      <c r="C36" s="72" t="s">
        <v>402</v>
      </c>
      <c r="D36" s="676">
        <v>0.01</v>
      </c>
      <c r="E36" s="72"/>
      <c r="F36" s="678" t="s">
        <v>35</v>
      </c>
      <c r="G36" s="72"/>
      <c r="H36" s="72"/>
      <c r="I36" s="82">
        <v>2</v>
      </c>
      <c r="J36" s="74">
        <f>I36*D36</f>
        <v>0.02</v>
      </c>
      <c r="K36" s="56"/>
      <c r="L36" s="56"/>
      <c r="M36" s="56"/>
      <c r="N36" s="56"/>
      <c r="O36" s="276"/>
    </row>
    <row r="37" spans="1:15" x14ac:dyDescent="0.3">
      <c r="A37" s="731">
        <v>30</v>
      </c>
      <c r="B37" s="72" t="s">
        <v>372</v>
      </c>
      <c r="C37" s="72" t="s">
        <v>402</v>
      </c>
      <c r="D37" s="676">
        <f>0.009*EXP(0.2*E37)</f>
        <v>4.4577291819556032E-2</v>
      </c>
      <c r="E37" s="72">
        <v>8</v>
      </c>
      <c r="F37" s="678" t="s">
        <v>30</v>
      </c>
      <c r="G37" s="72"/>
      <c r="H37" s="72"/>
      <c r="I37" s="82">
        <v>1</v>
      </c>
      <c r="J37" s="74">
        <f>D37*I37</f>
        <v>4.4577291819556032E-2</v>
      </c>
      <c r="K37" s="56"/>
      <c r="L37" s="56"/>
      <c r="M37" s="56"/>
      <c r="N37" s="56"/>
      <c r="O37" s="276"/>
    </row>
    <row r="38" spans="1:15" x14ac:dyDescent="0.3">
      <c r="A38" s="736"/>
      <c r="B38" s="24"/>
      <c r="C38" s="24"/>
      <c r="D38" s="24"/>
      <c r="E38" s="24"/>
      <c r="F38" s="24"/>
      <c r="G38" s="24"/>
      <c r="H38" s="24"/>
      <c r="I38" s="101" t="s">
        <v>18</v>
      </c>
      <c r="J38" s="100">
        <f>SUM(J35:J37)</f>
        <v>0.25005711026498539</v>
      </c>
      <c r="K38" s="56"/>
      <c r="L38" s="56"/>
      <c r="M38" s="56"/>
      <c r="N38" s="56"/>
      <c r="O38" s="276"/>
    </row>
    <row r="39" spans="1:15" x14ac:dyDescent="0.3">
      <c r="A39" s="722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276"/>
    </row>
    <row r="40" spans="1:15" x14ac:dyDescent="0.3">
      <c r="A40" s="720" t="s">
        <v>14</v>
      </c>
      <c r="B40" s="98" t="s">
        <v>250</v>
      </c>
      <c r="C40" s="98" t="s">
        <v>20</v>
      </c>
      <c r="D40" s="98" t="s">
        <v>21</v>
      </c>
      <c r="E40" s="98" t="s">
        <v>32</v>
      </c>
      <c r="F40" s="98" t="s">
        <v>17</v>
      </c>
      <c r="G40" s="98" t="s">
        <v>251</v>
      </c>
      <c r="H40" s="98" t="s">
        <v>252</v>
      </c>
      <c r="I40" s="98" t="s">
        <v>18</v>
      </c>
      <c r="J40" s="24"/>
      <c r="K40" s="56"/>
      <c r="L40" s="56"/>
      <c r="M40" s="56"/>
      <c r="N40" s="56"/>
      <c r="O40" s="276"/>
    </row>
    <row r="41" spans="1:15" x14ac:dyDescent="0.3">
      <c r="A41" s="731">
        <v>10</v>
      </c>
      <c r="B41" s="72" t="s">
        <v>253</v>
      </c>
      <c r="C41" s="72" t="s">
        <v>403</v>
      </c>
      <c r="D41" s="74">
        <v>500</v>
      </c>
      <c r="E41" s="72" t="s">
        <v>255</v>
      </c>
      <c r="F41" s="72">
        <v>2</v>
      </c>
      <c r="G41" s="72">
        <v>3000</v>
      </c>
      <c r="H41" s="72">
        <v>1</v>
      </c>
      <c r="I41" s="74">
        <f>D41*F41/G41*H41</f>
        <v>0.33333333333333331</v>
      </c>
      <c r="J41" s="24"/>
      <c r="K41" s="56"/>
      <c r="L41" s="56"/>
      <c r="M41" s="56"/>
      <c r="N41" s="56"/>
      <c r="O41" s="276"/>
    </row>
    <row r="42" spans="1:15" x14ac:dyDescent="0.3">
      <c r="A42" s="736"/>
      <c r="B42" s="24"/>
      <c r="C42" s="24"/>
      <c r="D42" s="24"/>
      <c r="E42" s="24"/>
      <c r="F42" s="24"/>
      <c r="G42" s="24"/>
      <c r="H42" s="265" t="s">
        <v>18</v>
      </c>
      <c r="I42" s="244">
        <f>SUM(I41:I41)</f>
        <v>0.33333333333333331</v>
      </c>
      <c r="J42" s="24"/>
      <c r="K42" s="56"/>
      <c r="L42" s="56"/>
      <c r="M42" s="56"/>
      <c r="N42" s="56"/>
      <c r="O42" s="276"/>
    </row>
    <row r="43" spans="1:15" ht="15" thickBot="1" x14ac:dyDescent="0.35">
      <c r="A43" s="296"/>
      <c r="B43" s="297"/>
      <c r="C43" s="297"/>
      <c r="D43" s="297"/>
      <c r="E43" s="297"/>
      <c r="F43" s="297"/>
      <c r="G43" s="297"/>
      <c r="H43" s="297"/>
      <c r="I43" s="297"/>
      <c r="J43" s="297"/>
      <c r="K43" s="297"/>
      <c r="L43" s="297"/>
      <c r="M43" s="297"/>
      <c r="N43" s="297"/>
      <c r="O43" s="298"/>
    </row>
    <row r="44" spans="1:15" x14ac:dyDescent="0.3">
      <c r="A44" s="56"/>
      <c r="B44" s="56"/>
      <c r="C44" s="56"/>
      <c r="D44" s="56"/>
      <c r="E44" s="56"/>
      <c r="F44" s="56"/>
      <c r="G44" s="56"/>
      <c r="H44" s="56"/>
      <c r="I44" s="56"/>
      <c r="J44" s="56"/>
      <c r="K44" s="56"/>
      <c r="L44" s="56"/>
      <c r="M44" s="56"/>
      <c r="N44" s="56"/>
    </row>
  </sheetData>
  <hyperlinks>
    <hyperlink ref="B10" location="SU_06001" display="Rocker bushing"/>
    <hyperlink ref="B11" location="SU_06002" display="Rocker spacer"/>
    <hyperlink ref="B12" location="SU_06003" display="Sheets of metal for rocker"/>
    <hyperlink ref="B13" location="SU_06004" display="Front rocker mount"/>
    <hyperlink ref="E2" location="SU_A06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3" max="16383" man="1"/>
  </rowBreaks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O280"/>
  <sheetViews>
    <sheetView zoomScale="80" zoomScaleNormal="80" workbookViewId="0">
      <selection activeCell="N4" sqref="N4"/>
    </sheetView>
  </sheetViews>
  <sheetFormatPr baseColWidth="10" defaultRowHeight="14.4" x14ac:dyDescent="0.3"/>
  <cols>
    <col min="2" max="2" width="31.88671875" customWidth="1"/>
    <col min="3" max="3" width="28.77734375" customWidth="1"/>
    <col min="7" max="7" width="25.109375" customWidth="1"/>
    <col min="9" max="9" width="27.21875" customWidth="1"/>
    <col min="10" max="10" width="13.55468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747" t="s">
        <v>0</v>
      </c>
      <c r="B2" s="16" t="s">
        <v>37</v>
      </c>
      <c r="C2" s="748"/>
      <c r="D2" s="748"/>
      <c r="E2" s="748"/>
      <c r="F2" s="88" t="s">
        <v>126</v>
      </c>
      <c r="G2" s="748"/>
      <c r="H2" s="748"/>
      <c r="I2" s="748"/>
      <c r="J2" s="749" t="s">
        <v>1</v>
      </c>
      <c r="K2" s="750">
        <v>81</v>
      </c>
      <c r="L2" s="748"/>
      <c r="M2" s="747" t="s">
        <v>16</v>
      </c>
      <c r="N2" s="751">
        <f>SU_06001_m+SU_06001_p</f>
        <v>1.3710986506763019</v>
      </c>
      <c r="O2" s="276"/>
    </row>
    <row r="3" spans="1:15" x14ac:dyDescent="0.3">
      <c r="A3" s="747" t="s">
        <v>3</v>
      </c>
      <c r="B3" s="16" t="str">
        <f>'SU A0600'!B3</f>
        <v>Suspension &amp; Shocks</v>
      </c>
      <c r="C3" s="748"/>
      <c r="D3" s="747" t="s">
        <v>6</v>
      </c>
      <c r="E3" s="748"/>
      <c r="F3" s="748"/>
      <c r="G3" s="748"/>
      <c r="H3" s="748"/>
      <c r="I3" s="748"/>
      <c r="J3" s="748"/>
      <c r="K3" s="748"/>
      <c r="L3" s="748"/>
      <c r="M3" s="747" t="s">
        <v>4</v>
      </c>
      <c r="N3" s="752">
        <v>2</v>
      </c>
      <c r="O3" s="276"/>
    </row>
    <row r="4" spans="1:15" x14ac:dyDescent="0.3">
      <c r="A4" s="747" t="s">
        <v>5</v>
      </c>
      <c r="B4" s="88" t="str">
        <f>'SU A0600'!B4</f>
        <v>Front Bell Crank</v>
      </c>
      <c r="C4" s="748"/>
      <c r="D4" s="747" t="s">
        <v>8</v>
      </c>
      <c r="E4" s="748"/>
      <c r="F4" s="748"/>
      <c r="G4" s="748"/>
      <c r="H4" s="748"/>
      <c r="I4" s="748"/>
      <c r="J4" s="747" t="s">
        <v>6</v>
      </c>
      <c r="K4" s="748"/>
      <c r="L4" s="748"/>
      <c r="M4" s="748"/>
      <c r="N4" s="748"/>
      <c r="O4" s="276"/>
    </row>
    <row r="5" spans="1:15" x14ac:dyDescent="0.3">
      <c r="A5" s="747" t="s">
        <v>15</v>
      </c>
      <c r="B5" s="753" t="s">
        <v>385</v>
      </c>
      <c r="C5" s="748"/>
      <c r="D5" s="747" t="s">
        <v>12</v>
      </c>
      <c r="E5" s="748"/>
      <c r="F5" s="748"/>
      <c r="G5" s="748"/>
      <c r="H5" s="748"/>
      <c r="I5" s="748"/>
      <c r="J5" s="747" t="s">
        <v>8</v>
      </c>
      <c r="K5" s="748"/>
      <c r="L5" s="748"/>
      <c r="M5" s="747" t="s">
        <v>9</v>
      </c>
      <c r="N5" s="751">
        <f>N2*SU_06001_q</f>
        <v>2.7421973013526038</v>
      </c>
      <c r="O5" s="276"/>
    </row>
    <row r="6" spans="1:15" x14ac:dyDescent="0.3">
      <c r="A6" s="747" t="s">
        <v>7</v>
      </c>
      <c r="B6" s="748" t="s">
        <v>404</v>
      </c>
      <c r="C6" s="748"/>
      <c r="D6" s="748"/>
      <c r="E6" s="748"/>
      <c r="F6" s="748"/>
      <c r="G6" s="748"/>
      <c r="H6" s="748"/>
      <c r="I6" s="748"/>
      <c r="J6" s="747" t="s">
        <v>12</v>
      </c>
      <c r="K6" s="748"/>
      <c r="L6" s="748"/>
      <c r="M6" s="748"/>
      <c r="N6" s="748"/>
      <c r="O6" s="276"/>
    </row>
    <row r="7" spans="1:15" x14ac:dyDescent="0.3">
      <c r="A7" s="747" t="s">
        <v>10</v>
      </c>
      <c r="B7" s="16" t="s">
        <v>11</v>
      </c>
      <c r="C7" s="748"/>
      <c r="D7" s="748"/>
      <c r="E7" s="748"/>
      <c r="F7" s="748"/>
      <c r="G7" s="748"/>
      <c r="H7" s="748"/>
      <c r="I7" s="748"/>
      <c r="J7" s="748"/>
      <c r="K7" s="748"/>
      <c r="L7" s="748"/>
      <c r="M7" s="748"/>
      <c r="N7" s="748"/>
      <c r="O7" s="276"/>
    </row>
    <row r="8" spans="1:15" x14ac:dyDescent="0.3">
      <c r="A8" s="747" t="s">
        <v>13</v>
      </c>
      <c r="B8" s="16"/>
      <c r="C8" s="748"/>
      <c r="D8" s="748"/>
      <c r="E8" s="748"/>
      <c r="F8" s="748"/>
      <c r="G8" s="748"/>
      <c r="H8" s="748"/>
      <c r="I8" s="748"/>
      <c r="J8" s="748"/>
      <c r="K8" s="748"/>
      <c r="L8" s="748"/>
      <c r="M8" s="748"/>
      <c r="N8" s="748"/>
      <c r="O8" s="276"/>
    </row>
    <row r="9" spans="1:15" x14ac:dyDescent="0.3">
      <c r="A9" s="754"/>
      <c r="B9" s="748"/>
      <c r="C9" s="748"/>
      <c r="D9" s="748"/>
      <c r="E9" s="748"/>
      <c r="F9" s="748"/>
      <c r="G9" s="748"/>
      <c r="H9" s="748"/>
      <c r="I9" s="748"/>
      <c r="J9" s="748"/>
      <c r="K9" s="748"/>
      <c r="L9" s="748"/>
      <c r="M9" s="748"/>
      <c r="N9" s="748"/>
      <c r="O9" s="276"/>
    </row>
    <row r="10" spans="1:15" x14ac:dyDescent="0.3">
      <c r="A10" s="755" t="s">
        <v>14</v>
      </c>
      <c r="B10" s="756" t="s">
        <v>19</v>
      </c>
      <c r="C10" s="756" t="s">
        <v>20</v>
      </c>
      <c r="D10" s="756" t="s">
        <v>21</v>
      </c>
      <c r="E10" s="756" t="s">
        <v>22</v>
      </c>
      <c r="F10" s="756" t="s">
        <v>23</v>
      </c>
      <c r="G10" s="756" t="s">
        <v>24</v>
      </c>
      <c r="H10" s="756" t="s">
        <v>25</v>
      </c>
      <c r="I10" s="756" t="s">
        <v>26</v>
      </c>
      <c r="J10" s="756" t="s">
        <v>27</v>
      </c>
      <c r="K10" s="756" t="s">
        <v>28</v>
      </c>
      <c r="L10" s="756" t="s">
        <v>29</v>
      </c>
      <c r="M10" s="756" t="s">
        <v>17</v>
      </c>
      <c r="N10" s="756" t="s">
        <v>18</v>
      </c>
      <c r="O10" s="276"/>
    </row>
    <row r="11" spans="1:15" x14ac:dyDescent="0.3">
      <c r="A11" s="757">
        <v>10</v>
      </c>
      <c r="B11" s="758" t="s">
        <v>405</v>
      </c>
      <c r="C11" s="759" t="s">
        <v>406</v>
      </c>
      <c r="D11" s="760">
        <v>3.3</v>
      </c>
      <c r="E11" s="761">
        <f>J11*K11*L11</f>
        <v>1.3969288083727863E-2</v>
      </c>
      <c r="F11" s="759" t="s">
        <v>212</v>
      </c>
      <c r="G11" s="759"/>
      <c r="H11" s="762"/>
      <c r="I11" s="763" t="s">
        <v>407</v>
      </c>
      <c r="J11" s="763">
        <f>PI()*(7.5*10^-3)^2</f>
        <v>1.7671458676442585E-4</v>
      </c>
      <c r="K11" s="764">
        <v>9.2999999999999992E-3</v>
      </c>
      <c r="L11" s="765">
        <v>8500</v>
      </c>
      <c r="M11" s="765">
        <v>1</v>
      </c>
      <c r="N11" s="760">
        <f>D11*E11</f>
        <v>4.6098650676301943E-2</v>
      </c>
      <c r="O11" s="276"/>
    </row>
    <row r="12" spans="1:15" x14ac:dyDescent="0.3">
      <c r="A12" s="766"/>
      <c r="B12" s="767"/>
      <c r="C12" s="767"/>
      <c r="D12" s="767"/>
      <c r="E12" s="767"/>
      <c r="F12" s="767"/>
      <c r="G12" s="767"/>
      <c r="H12" s="767"/>
      <c r="I12" s="767"/>
      <c r="J12" s="767"/>
      <c r="K12" s="767"/>
      <c r="L12" s="767"/>
      <c r="M12" s="768" t="s">
        <v>18</v>
      </c>
      <c r="N12" s="769">
        <f>N11</f>
        <v>4.6098650676301943E-2</v>
      </c>
      <c r="O12" s="276"/>
    </row>
    <row r="13" spans="1:15" x14ac:dyDescent="0.3">
      <c r="A13" s="754"/>
      <c r="B13" s="748"/>
      <c r="C13" s="748"/>
      <c r="D13" s="748"/>
      <c r="E13" s="748"/>
      <c r="F13" s="748"/>
      <c r="G13" s="748"/>
      <c r="H13" s="748"/>
      <c r="I13" s="748"/>
      <c r="J13" s="748"/>
      <c r="K13" s="748"/>
      <c r="L13" s="748"/>
      <c r="M13" s="748"/>
      <c r="N13" s="748"/>
      <c r="O13" s="276"/>
    </row>
    <row r="14" spans="1:15" x14ac:dyDescent="0.3">
      <c r="A14" s="755" t="s">
        <v>14</v>
      </c>
      <c r="B14" s="756" t="s">
        <v>31</v>
      </c>
      <c r="C14" s="756" t="s">
        <v>20</v>
      </c>
      <c r="D14" s="756" t="s">
        <v>21</v>
      </c>
      <c r="E14" s="756" t="s">
        <v>32</v>
      </c>
      <c r="F14" s="756" t="s">
        <v>17</v>
      </c>
      <c r="G14" s="756" t="s">
        <v>33</v>
      </c>
      <c r="H14" s="756" t="s">
        <v>34</v>
      </c>
      <c r="I14" s="756" t="s">
        <v>18</v>
      </c>
      <c r="J14" s="767"/>
      <c r="K14" s="767"/>
      <c r="L14" s="767"/>
      <c r="M14" s="767"/>
      <c r="N14" s="767"/>
      <c r="O14" s="276"/>
    </row>
    <row r="15" spans="1:15" x14ac:dyDescent="0.3">
      <c r="A15" s="757">
        <v>10</v>
      </c>
      <c r="B15" s="759" t="s">
        <v>39</v>
      </c>
      <c r="C15" s="759"/>
      <c r="D15" s="760">
        <v>1.3</v>
      </c>
      <c r="E15" s="759" t="s">
        <v>35</v>
      </c>
      <c r="F15" s="759">
        <v>1</v>
      </c>
      <c r="G15" s="759"/>
      <c r="H15" s="759"/>
      <c r="I15" s="760">
        <v>1.3</v>
      </c>
      <c r="J15" s="748"/>
      <c r="K15" s="748"/>
      <c r="L15" s="748"/>
      <c r="M15" s="748"/>
      <c r="N15" s="748"/>
      <c r="O15" s="276"/>
    </row>
    <row r="16" spans="1:15" x14ac:dyDescent="0.3">
      <c r="A16" s="757">
        <v>20</v>
      </c>
      <c r="B16" s="759" t="s">
        <v>408</v>
      </c>
      <c r="C16" s="759" t="s">
        <v>409</v>
      </c>
      <c r="D16" s="760">
        <v>0.04</v>
      </c>
      <c r="E16" s="759" t="s">
        <v>161</v>
      </c>
      <c r="F16" s="759">
        <v>1.25</v>
      </c>
      <c r="G16" s="759" t="s">
        <v>410</v>
      </c>
      <c r="H16" s="759">
        <v>0.5</v>
      </c>
      <c r="I16" s="760">
        <f>D16*F16*H16</f>
        <v>2.5000000000000001E-2</v>
      </c>
      <c r="J16" s="748"/>
      <c r="K16" s="748"/>
      <c r="L16" s="748"/>
      <c r="M16" s="748"/>
      <c r="N16" s="748"/>
      <c r="O16" s="276"/>
    </row>
    <row r="17" spans="1:15" x14ac:dyDescent="0.3">
      <c r="A17" s="766"/>
      <c r="B17" s="767"/>
      <c r="C17" s="767"/>
      <c r="D17" s="767"/>
      <c r="E17" s="767"/>
      <c r="F17" s="767"/>
      <c r="G17" s="767"/>
      <c r="H17" s="768" t="s">
        <v>18</v>
      </c>
      <c r="I17" s="770">
        <f>I15+I16</f>
        <v>1.325</v>
      </c>
      <c r="J17" s="767"/>
      <c r="K17" s="767"/>
      <c r="L17" s="767"/>
      <c r="M17" s="767"/>
      <c r="N17" s="767"/>
      <c r="O17" s="276"/>
    </row>
    <row r="18" spans="1:15" x14ac:dyDescent="0.3">
      <c r="A18" s="754"/>
      <c r="B18" s="748"/>
      <c r="C18" s="748"/>
      <c r="D18" s="748"/>
      <c r="E18" s="748"/>
      <c r="F18" s="748"/>
      <c r="G18" s="748"/>
      <c r="H18" s="750"/>
      <c r="I18" s="751"/>
      <c r="J18" s="748"/>
      <c r="K18" s="748"/>
      <c r="L18" s="748"/>
      <c r="M18" s="748"/>
      <c r="N18" s="748"/>
      <c r="O18" s="276"/>
    </row>
    <row r="19" spans="1:15" x14ac:dyDescent="0.3">
      <c r="A19" s="754"/>
      <c r="B19" s="748"/>
      <c r="C19" s="748"/>
      <c r="D19" s="748"/>
      <c r="E19" s="748"/>
      <c r="F19" s="748"/>
      <c r="G19" s="748"/>
      <c r="H19" s="748"/>
      <c r="I19" s="748"/>
      <c r="J19" s="748"/>
      <c r="K19" s="748"/>
      <c r="L19" s="748"/>
      <c r="M19" s="748"/>
      <c r="N19" s="748"/>
      <c r="O19" s="276"/>
    </row>
    <row r="20" spans="1:15" x14ac:dyDescent="0.3">
      <c r="A20" s="754"/>
      <c r="B20" s="748"/>
      <c r="C20" s="748"/>
      <c r="D20" s="748"/>
      <c r="E20" s="748"/>
      <c r="F20" s="748"/>
      <c r="G20" s="748"/>
      <c r="H20" s="748"/>
      <c r="I20" s="748"/>
      <c r="J20" s="748"/>
      <c r="K20" s="748"/>
      <c r="L20" s="748"/>
      <c r="M20" s="748"/>
      <c r="N20" s="748"/>
      <c r="O20" s="276"/>
    </row>
    <row r="21" spans="1:15" x14ac:dyDescent="0.3">
      <c r="A21" s="754"/>
      <c r="B21" s="748"/>
      <c r="C21" s="748"/>
      <c r="D21" s="748"/>
      <c r="E21" s="748"/>
      <c r="F21" s="748"/>
      <c r="G21" s="748"/>
      <c r="H21" s="748"/>
      <c r="I21" s="748"/>
      <c r="J21" s="748"/>
      <c r="K21" s="748"/>
      <c r="L21" s="748"/>
      <c r="M21" s="748"/>
      <c r="N21" s="748"/>
      <c r="O21" s="276"/>
    </row>
    <row r="22" spans="1:15" ht="15" thickBot="1" x14ac:dyDescent="0.35">
      <c r="A22" s="771"/>
      <c r="B22" s="772"/>
      <c r="C22" s="772"/>
      <c r="D22" s="772"/>
      <c r="E22" s="772"/>
      <c r="F22" s="772"/>
      <c r="G22" s="772"/>
      <c r="H22" s="772"/>
      <c r="I22" s="772"/>
      <c r="J22" s="772"/>
      <c r="K22" s="772"/>
      <c r="L22" s="772"/>
      <c r="M22" s="772"/>
      <c r="N22" s="772"/>
      <c r="O22" s="298"/>
    </row>
    <row r="23" spans="1:15" x14ac:dyDescent="0.3">
      <c r="A23" s="16"/>
      <c r="B23" s="773"/>
      <c r="C23" s="773"/>
      <c r="D23" s="773"/>
      <c r="E23" s="773"/>
      <c r="F23" s="773"/>
      <c r="G23" s="773"/>
      <c r="H23" s="773"/>
      <c r="I23" s="773"/>
      <c r="J23" s="773"/>
      <c r="K23" s="773"/>
      <c r="L23" s="773"/>
      <c r="M23" s="773"/>
      <c r="N23" s="773"/>
    </row>
    <row r="24" spans="1:15" x14ac:dyDescent="0.3">
      <c r="A24" s="16"/>
      <c r="B24" s="773"/>
      <c r="C24" s="773"/>
      <c r="D24" s="773"/>
      <c r="E24" s="773"/>
      <c r="F24" s="773"/>
      <c r="G24" s="773"/>
      <c r="H24" s="773"/>
      <c r="I24" s="773"/>
      <c r="J24" s="773"/>
      <c r="K24" s="773"/>
      <c r="L24" s="773"/>
      <c r="M24" s="773"/>
      <c r="N24" s="773"/>
    </row>
    <row r="25" spans="1:15" x14ac:dyDescent="0.3">
      <c r="A25" s="88"/>
      <c r="B25" s="773"/>
      <c r="C25" s="773"/>
      <c r="D25" s="773"/>
      <c r="E25" s="773"/>
      <c r="F25" s="773"/>
      <c r="G25" s="773"/>
      <c r="H25" s="773"/>
      <c r="I25" s="773"/>
      <c r="J25" s="773"/>
      <c r="K25" s="773"/>
      <c r="L25" s="773"/>
      <c r="M25" s="773"/>
      <c r="N25" s="773"/>
    </row>
    <row r="26" spans="1:15" x14ac:dyDescent="0.3">
      <c r="A26" s="18"/>
      <c r="B26" s="773"/>
      <c r="C26" s="773"/>
      <c r="D26" s="773"/>
      <c r="E26" s="773"/>
      <c r="F26" s="773"/>
      <c r="G26" s="773"/>
      <c r="H26" s="773"/>
      <c r="I26" s="773"/>
      <c r="J26" s="773"/>
      <c r="K26" s="773"/>
      <c r="L26" s="773"/>
      <c r="M26" s="773"/>
      <c r="N26" s="773"/>
    </row>
    <row r="27" spans="1:15" x14ac:dyDescent="0.3">
      <c r="A27" s="28"/>
      <c r="B27" s="773"/>
      <c r="C27" s="773"/>
      <c r="D27" s="773"/>
      <c r="E27" s="773"/>
      <c r="F27" s="773"/>
      <c r="G27" s="773"/>
      <c r="H27" s="773"/>
      <c r="I27" s="773"/>
      <c r="J27" s="773"/>
      <c r="K27" s="773"/>
      <c r="L27" s="773"/>
      <c r="M27" s="773"/>
      <c r="N27" s="773"/>
    </row>
    <row r="28" spans="1:15" x14ac:dyDescent="0.3">
      <c r="A28" s="16"/>
      <c r="B28" s="773"/>
      <c r="C28" s="773"/>
      <c r="D28" s="773"/>
      <c r="E28" s="773"/>
      <c r="F28" s="773"/>
      <c r="G28" s="773"/>
      <c r="H28" s="773"/>
      <c r="I28" s="773"/>
      <c r="J28" s="773"/>
      <c r="K28" s="773"/>
      <c r="L28" s="773"/>
      <c r="M28" s="773"/>
      <c r="N28" s="773"/>
    </row>
    <row r="29" spans="1:15" x14ac:dyDescent="0.3">
      <c r="A29" s="16"/>
      <c r="B29" s="773"/>
      <c r="C29" s="773"/>
      <c r="D29" s="773"/>
      <c r="E29" s="773"/>
      <c r="F29" s="773"/>
      <c r="G29" s="773"/>
      <c r="H29" s="773"/>
      <c r="I29" s="773"/>
      <c r="J29" s="773"/>
      <c r="K29" s="773"/>
      <c r="L29" s="773"/>
      <c r="M29" s="773"/>
      <c r="N29" s="773"/>
    </row>
    <row r="30" spans="1:15" x14ac:dyDescent="0.3">
      <c r="A30" s="773"/>
      <c r="B30" s="773"/>
      <c r="C30" s="773"/>
      <c r="D30" s="773"/>
      <c r="E30" s="773"/>
      <c r="F30" s="773"/>
      <c r="G30" s="773"/>
      <c r="H30" s="773"/>
      <c r="I30" s="773"/>
      <c r="J30" s="773"/>
      <c r="K30" s="773"/>
      <c r="L30" s="773"/>
      <c r="M30" s="773"/>
      <c r="N30" s="773"/>
    </row>
    <row r="31" spans="1:15" x14ac:dyDescent="0.3">
      <c r="A31" s="773"/>
      <c r="B31" s="773"/>
      <c r="C31" s="773"/>
      <c r="D31" s="773"/>
      <c r="E31" s="773"/>
      <c r="F31" s="773"/>
      <c r="G31" s="773"/>
      <c r="H31" s="773"/>
      <c r="I31" s="773"/>
      <c r="J31" s="773"/>
      <c r="K31" s="773"/>
      <c r="L31" s="773"/>
      <c r="M31" s="773"/>
      <c r="N31" s="773"/>
    </row>
    <row r="32" spans="1:15" x14ac:dyDescent="0.3">
      <c r="A32" s="773"/>
      <c r="B32" s="773"/>
      <c r="C32" s="773"/>
      <c r="D32" s="773"/>
      <c r="E32" s="773"/>
      <c r="F32" s="773"/>
      <c r="G32" s="773"/>
      <c r="H32" s="773"/>
      <c r="I32" s="773"/>
      <c r="J32" s="773"/>
      <c r="K32" s="773"/>
      <c r="L32" s="773"/>
      <c r="M32" s="773"/>
      <c r="N32" s="773"/>
    </row>
    <row r="33" spans="1:14" x14ac:dyDescent="0.3">
      <c r="A33" s="773"/>
      <c r="B33" s="773"/>
      <c r="C33" s="773"/>
      <c r="D33" s="773"/>
      <c r="E33" s="773"/>
      <c r="F33" s="773"/>
      <c r="G33" s="773"/>
      <c r="H33" s="773"/>
      <c r="I33" s="773"/>
      <c r="J33" s="773"/>
      <c r="K33" s="773"/>
      <c r="L33" s="773"/>
      <c r="M33" s="773"/>
      <c r="N33" s="773"/>
    </row>
    <row r="34" spans="1:14" x14ac:dyDescent="0.3">
      <c r="A34" s="773"/>
      <c r="B34" s="773"/>
      <c r="C34" s="773"/>
      <c r="D34" s="773"/>
      <c r="E34" s="773"/>
      <c r="F34" s="773"/>
      <c r="G34" s="773"/>
      <c r="H34" s="773"/>
      <c r="I34" s="773"/>
      <c r="J34" s="773"/>
      <c r="K34" s="773"/>
      <c r="L34" s="773"/>
      <c r="M34" s="773"/>
      <c r="N34" s="773"/>
    </row>
    <row r="35" spans="1:14" x14ac:dyDescent="0.3">
      <c r="A35" s="773"/>
      <c r="B35" s="773"/>
      <c r="C35" s="773"/>
      <c r="D35" s="773"/>
      <c r="E35" s="773"/>
      <c r="F35" s="773"/>
      <c r="G35" s="773"/>
      <c r="H35" s="773"/>
      <c r="I35" s="773"/>
      <c r="J35" s="773"/>
      <c r="K35" s="773"/>
      <c r="L35" s="773"/>
      <c r="M35" s="773"/>
      <c r="N35" s="773"/>
    </row>
    <row r="36" spans="1:14" x14ac:dyDescent="0.3">
      <c r="A36" s="773"/>
      <c r="B36" s="773"/>
      <c r="C36" s="773"/>
      <c r="D36" s="773"/>
      <c r="E36" s="773"/>
      <c r="F36" s="773"/>
      <c r="G36" s="773"/>
      <c r="H36" s="773"/>
      <c r="I36" s="773"/>
      <c r="J36" s="773"/>
      <c r="K36" s="773"/>
      <c r="L36" s="773"/>
      <c r="M36" s="773"/>
      <c r="N36" s="773"/>
    </row>
    <row r="37" spans="1:14" x14ac:dyDescent="0.3">
      <c r="A37" s="773"/>
      <c r="B37" s="773"/>
      <c r="C37" s="773"/>
      <c r="D37" s="773"/>
      <c r="E37" s="773"/>
      <c r="F37" s="773"/>
      <c r="G37" s="773"/>
      <c r="H37" s="773"/>
      <c r="I37" s="773"/>
      <c r="J37" s="773"/>
      <c r="K37" s="773"/>
      <c r="L37" s="773"/>
      <c r="M37" s="773"/>
      <c r="N37" s="773"/>
    </row>
    <row r="38" spans="1:14" x14ac:dyDescent="0.3">
      <c r="A38" s="773"/>
      <c r="B38" s="773"/>
      <c r="C38" s="773"/>
      <c r="D38" s="773"/>
      <c r="E38" s="773"/>
      <c r="F38" s="773"/>
      <c r="G38" s="773"/>
      <c r="H38" s="773"/>
      <c r="I38" s="773"/>
      <c r="J38" s="773"/>
      <c r="K38" s="773"/>
      <c r="L38" s="773"/>
      <c r="M38" s="773"/>
      <c r="N38" s="773"/>
    </row>
    <row r="39" spans="1:14" x14ac:dyDescent="0.3">
      <c r="A39" s="773"/>
      <c r="B39" s="773"/>
      <c r="C39" s="773"/>
      <c r="D39" s="773"/>
      <c r="E39" s="773"/>
      <c r="F39" s="773"/>
      <c r="G39" s="773"/>
      <c r="H39" s="773"/>
      <c r="I39" s="773"/>
      <c r="J39" s="773"/>
      <c r="K39" s="773"/>
      <c r="L39" s="773"/>
      <c r="M39" s="773"/>
      <c r="N39" s="773"/>
    </row>
    <row r="40" spans="1:14" x14ac:dyDescent="0.3">
      <c r="A40" s="773"/>
      <c r="B40" s="773"/>
      <c r="C40" s="773"/>
      <c r="D40" s="773"/>
      <c r="E40" s="773"/>
      <c r="F40" s="773"/>
      <c r="G40" s="773"/>
      <c r="H40" s="773"/>
      <c r="I40" s="773"/>
      <c r="J40" s="773"/>
      <c r="K40" s="773"/>
      <c r="L40" s="773"/>
      <c r="M40" s="773"/>
      <c r="N40" s="773"/>
    </row>
    <row r="41" spans="1:14" x14ac:dyDescent="0.3">
      <c r="A41" s="773"/>
      <c r="B41" s="773"/>
      <c r="C41" s="773"/>
      <c r="D41" s="773"/>
      <c r="E41" s="773"/>
      <c r="F41" s="773"/>
      <c r="G41" s="773"/>
      <c r="H41" s="773"/>
      <c r="I41" s="773"/>
      <c r="J41" s="773"/>
      <c r="K41" s="773"/>
      <c r="L41" s="773"/>
      <c r="M41" s="773"/>
      <c r="N41" s="773"/>
    </row>
    <row r="42" spans="1:14" x14ac:dyDescent="0.3">
      <c r="A42" s="773"/>
      <c r="B42" s="773"/>
      <c r="C42" s="773"/>
      <c r="D42" s="773"/>
      <c r="E42" s="773"/>
      <c r="F42" s="773"/>
      <c r="G42" s="773"/>
      <c r="H42" s="773"/>
      <c r="I42" s="773"/>
      <c r="J42" s="773"/>
      <c r="K42" s="773"/>
      <c r="L42" s="773"/>
      <c r="M42" s="773"/>
      <c r="N42" s="773"/>
    </row>
    <row r="43" spans="1:14" x14ac:dyDescent="0.3">
      <c r="A43" s="773"/>
      <c r="B43" s="773"/>
      <c r="C43" s="773"/>
      <c r="D43" s="773"/>
      <c r="E43" s="773"/>
      <c r="F43" s="773"/>
      <c r="G43" s="773"/>
      <c r="H43" s="773"/>
      <c r="I43" s="773"/>
      <c r="J43" s="773"/>
      <c r="K43" s="773"/>
      <c r="L43" s="773"/>
      <c r="M43" s="773"/>
      <c r="N43" s="773"/>
    </row>
    <row r="44" spans="1:14" x14ac:dyDescent="0.3">
      <c r="A44" s="773"/>
      <c r="B44" s="773"/>
      <c r="C44" s="773"/>
      <c r="D44" s="773"/>
      <c r="E44" s="773"/>
      <c r="F44" s="773"/>
      <c r="G44" s="773"/>
      <c r="H44" s="773"/>
      <c r="I44" s="773"/>
      <c r="J44" s="773"/>
      <c r="K44" s="773"/>
      <c r="L44" s="773"/>
      <c r="M44" s="773"/>
      <c r="N44" s="773"/>
    </row>
    <row r="45" spans="1:14" x14ac:dyDescent="0.3">
      <c r="A45" s="773"/>
      <c r="B45" s="773"/>
      <c r="C45" s="773"/>
      <c r="D45" s="773"/>
      <c r="E45" s="773"/>
      <c r="F45" s="773"/>
      <c r="G45" s="773"/>
      <c r="H45" s="773"/>
      <c r="I45" s="773"/>
      <c r="J45" s="773"/>
      <c r="K45" s="773"/>
      <c r="L45" s="773"/>
      <c r="M45" s="773"/>
      <c r="N45" s="773"/>
    </row>
    <row r="46" spans="1:14" x14ac:dyDescent="0.3">
      <c r="A46" s="773"/>
      <c r="B46" s="773"/>
      <c r="C46" s="773"/>
      <c r="D46" s="773"/>
      <c r="E46" s="773"/>
      <c r="F46" s="773"/>
      <c r="G46" s="773"/>
      <c r="H46" s="773"/>
      <c r="I46" s="773"/>
      <c r="J46" s="773"/>
      <c r="K46" s="773"/>
      <c r="L46" s="773"/>
      <c r="M46" s="773"/>
      <c r="N46" s="773"/>
    </row>
    <row r="47" spans="1:14" x14ac:dyDescent="0.3">
      <c r="A47" s="773"/>
      <c r="B47" s="773"/>
      <c r="C47" s="773"/>
      <c r="D47" s="773"/>
      <c r="E47" s="773"/>
      <c r="F47" s="773"/>
      <c r="G47" s="773"/>
      <c r="H47" s="773"/>
      <c r="I47" s="773"/>
      <c r="J47" s="773"/>
      <c r="K47" s="773"/>
      <c r="L47" s="773"/>
      <c r="M47" s="773"/>
      <c r="N47" s="773"/>
    </row>
    <row r="48" spans="1:14" x14ac:dyDescent="0.3">
      <c r="A48" s="773"/>
      <c r="B48" s="773"/>
      <c r="C48" s="773"/>
      <c r="D48" s="773"/>
      <c r="E48" s="773"/>
      <c r="F48" s="773"/>
      <c r="G48" s="773"/>
      <c r="H48" s="773"/>
      <c r="I48" s="773"/>
      <c r="J48" s="773"/>
      <c r="K48" s="773"/>
      <c r="L48" s="773"/>
      <c r="M48" s="773"/>
      <c r="N48" s="773"/>
    </row>
    <row r="49" spans="1:14" x14ac:dyDescent="0.3">
      <c r="A49" s="773"/>
      <c r="B49" s="773"/>
      <c r="C49" s="773"/>
      <c r="D49" s="773"/>
      <c r="E49" s="773"/>
      <c r="F49" s="773"/>
      <c r="G49" s="773"/>
      <c r="H49" s="773"/>
      <c r="I49" s="773"/>
      <c r="J49" s="773"/>
      <c r="K49" s="773"/>
      <c r="L49" s="773"/>
      <c r="M49" s="773"/>
      <c r="N49" s="773"/>
    </row>
    <row r="50" spans="1:14" x14ac:dyDescent="0.3">
      <c r="A50" s="773"/>
      <c r="B50" s="773"/>
      <c r="C50" s="773"/>
      <c r="D50" s="773"/>
      <c r="E50" s="773"/>
      <c r="F50" s="773"/>
      <c r="G50" s="773"/>
      <c r="H50" s="773"/>
      <c r="I50" s="773"/>
      <c r="J50" s="773"/>
      <c r="K50" s="773"/>
      <c r="L50" s="773"/>
      <c r="M50" s="773"/>
      <c r="N50" s="773"/>
    </row>
    <row r="51" spans="1:14" x14ac:dyDescent="0.3">
      <c r="A51" s="773"/>
      <c r="B51" s="773"/>
      <c r="C51" s="773"/>
      <c r="D51" s="773"/>
      <c r="E51" s="773"/>
      <c r="F51" s="773"/>
      <c r="G51" s="773"/>
      <c r="H51" s="773"/>
      <c r="I51" s="773"/>
      <c r="J51" s="773"/>
      <c r="K51" s="773"/>
      <c r="L51" s="773"/>
      <c r="M51" s="773"/>
      <c r="N51" s="773"/>
    </row>
    <row r="52" spans="1:14" x14ac:dyDescent="0.3">
      <c r="A52" s="773"/>
      <c r="B52" s="773"/>
      <c r="C52" s="773"/>
      <c r="D52" s="773"/>
      <c r="E52" s="773"/>
      <c r="F52" s="773"/>
      <c r="G52" s="773"/>
      <c r="H52" s="773"/>
      <c r="I52" s="773"/>
      <c r="J52" s="773"/>
      <c r="K52" s="773"/>
      <c r="L52" s="773"/>
      <c r="M52" s="773"/>
      <c r="N52" s="773"/>
    </row>
    <row r="53" spans="1:14" x14ac:dyDescent="0.3">
      <c r="A53" s="773"/>
      <c r="B53" s="773"/>
      <c r="C53" s="773"/>
      <c r="D53" s="773"/>
      <c r="E53" s="773"/>
      <c r="F53" s="773"/>
      <c r="G53" s="773"/>
      <c r="H53" s="773"/>
      <c r="I53" s="773"/>
      <c r="J53" s="773"/>
      <c r="K53" s="773"/>
      <c r="L53" s="773"/>
      <c r="M53" s="773"/>
      <c r="N53" s="773"/>
    </row>
    <row r="54" spans="1:14" x14ac:dyDescent="0.3">
      <c r="A54" s="773"/>
      <c r="B54" s="773"/>
      <c r="C54" s="773"/>
      <c r="D54" s="773"/>
      <c r="E54" s="773"/>
      <c r="F54" s="773"/>
      <c r="G54" s="773"/>
      <c r="H54" s="773"/>
      <c r="I54" s="773"/>
      <c r="J54" s="773"/>
      <c r="K54" s="773"/>
      <c r="L54" s="773"/>
      <c r="M54" s="773"/>
      <c r="N54" s="773"/>
    </row>
    <row r="55" spans="1:14" x14ac:dyDescent="0.3">
      <c r="A55" s="773"/>
      <c r="B55" s="773"/>
      <c r="C55" s="773"/>
      <c r="D55" s="773"/>
      <c r="E55" s="773"/>
      <c r="F55" s="773"/>
      <c r="G55" s="773"/>
      <c r="H55" s="773"/>
      <c r="I55" s="773"/>
      <c r="J55" s="773"/>
      <c r="K55" s="773"/>
      <c r="L55" s="773"/>
      <c r="M55" s="773"/>
      <c r="N55" s="773"/>
    </row>
    <row r="56" spans="1:14" x14ac:dyDescent="0.3">
      <c r="A56" s="773"/>
      <c r="B56" s="773"/>
      <c r="C56" s="773"/>
      <c r="D56" s="773"/>
      <c r="E56" s="773"/>
      <c r="F56" s="773"/>
      <c r="G56" s="773"/>
      <c r="H56" s="773"/>
      <c r="I56" s="773"/>
      <c r="J56" s="773"/>
      <c r="K56" s="773"/>
      <c r="L56" s="773"/>
      <c r="M56" s="773"/>
      <c r="N56" s="773"/>
    </row>
    <row r="57" spans="1:14" x14ac:dyDescent="0.3">
      <c r="A57" s="773"/>
      <c r="B57" s="773"/>
      <c r="C57" s="773"/>
      <c r="D57" s="773"/>
      <c r="E57" s="773"/>
      <c r="F57" s="773"/>
      <c r="G57" s="773"/>
      <c r="H57" s="773"/>
      <c r="I57" s="773"/>
      <c r="J57" s="773"/>
      <c r="K57" s="773"/>
      <c r="L57" s="773"/>
      <c r="M57" s="773"/>
      <c r="N57" s="773"/>
    </row>
    <row r="58" spans="1:14" x14ac:dyDescent="0.3">
      <c r="A58" s="773"/>
      <c r="B58" s="773"/>
      <c r="C58" s="773"/>
      <c r="D58" s="773"/>
      <c r="E58" s="773"/>
      <c r="F58" s="773"/>
      <c r="G58" s="773"/>
      <c r="H58" s="773"/>
      <c r="I58" s="773"/>
      <c r="J58" s="773"/>
      <c r="K58" s="773"/>
      <c r="L58" s="773"/>
      <c r="M58" s="773"/>
      <c r="N58" s="773"/>
    </row>
    <row r="59" spans="1:14" x14ac:dyDescent="0.3">
      <c r="A59" s="773"/>
      <c r="B59" s="773"/>
      <c r="C59" s="773"/>
      <c r="D59" s="773"/>
      <c r="E59" s="773"/>
      <c r="F59" s="773"/>
      <c r="G59" s="773"/>
      <c r="H59" s="773"/>
      <c r="I59" s="773"/>
      <c r="J59" s="773"/>
      <c r="K59" s="773"/>
      <c r="L59" s="773"/>
      <c r="M59" s="773"/>
      <c r="N59" s="773"/>
    </row>
    <row r="60" spans="1:14" x14ac:dyDescent="0.3">
      <c r="A60" s="773"/>
      <c r="B60" s="773"/>
      <c r="C60" s="773"/>
      <c r="D60" s="773"/>
      <c r="E60" s="773"/>
      <c r="F60" s="773"/>
      <c r="G60" s="773"/>
      <c r="H60" s="773"/>
      <c r="I60" s="773"/>
      <c r="J60" s="773"/>
      <c r="K60" s="773"/>
      <c r="L60" s="773"/>
      <c r="M60" s="773"/>
      <c r="N60" s="773"/>
    </row>
    <row r="61" spans="1:14" x14ac:dyDescent="0.3">
      <c r="A61" s="773"/>
      <c r="B61" s="773"/>
      <c r="C61" s="773"/>
      <c r="D61" s="773"/>
      <c r="E61" s="773"/>
      <c r="F61" s="773"/>
      <c r="G61" s="773"/>
      <c r="H61" s="773"/>
      <c r="I61" s="773"/>
      <c r="J61" s="773"/>
      <c r="K61" s="773"/>
      <c r="L61" s="773"/>
      <c r="M61" s="773"/>
      <c r="N61" s="773"/>
    </row>
    <row r="62" spans="1:14" x14ac:dyDescent="0.3">
      <c r="A62" s="773"/>
      <c r="B62" s="773"/>
      <c r="C62" s="773"/>
      <c r="D62" s="773"/>
      <c r="E62" s="773"/>
      <c r="F62" s="773"/>
      <c r="G62" s="773"/>
      <c r="H62" s="773"/>
      <c r="I62" s="773"/>
      <c r="J62" s="773"/>
      <c r="K62" s="773"/>
      <c r="L62" s="773"/>
      <c r="M62" s="773"/>
      <c r="N62" s="773"/>
    </row>
    <row r="63" spans="1:14" x14ac:dyDescent="0.3">
      <c r="A63" s="773"/>
      <c r="B63" s="773"/>
      <c r="C63" s="773"/>
      <c r="D63" s="773"/>
      <c r="E63" s="773"/>
      <c r="F63" s="773"/>
      <c r="G63" s="773"/>
      <c r="H63" s="773"/>
      <c r="I63" s="773"/>
      <c r="J63" s="773"/>
      <c r="K63" s="773"/>
      <c r="L63" s="773"/>
      <c r="M63" s="773"/>
      <c r="N63" s="773"/>
    </row>
    <row r="64" spans="1:14" x14ac:dyDescent="0.3">
      <c r="A64" s="773"/>
      <c r="B64" s="773"/>
      <c r="C64" s="773"/>
      <c r="D64" s="773"/>
      <c r="E64" s="773"/>
      <c r="F64" s="773"/>
      <c r="G64" s="773"/>
      <c r="H64" s="773"/>
      <c r="I64" s="773"/>
      <c r="J64" s="773"/>
      <c r="K64" s="773"/>
      <c r="L64" s="773"/>
      <c r="M64" s="773"/>
      <c r="N64" s="773"/>
    </row>
    <row r="65" spans="1:14" x14ac:dyDescent="0.3">
      <c r="A65" s="773"/>
      <c r="B65" s="773"/>
      <c r="C65" s="773"/>
      <c r="D65" s="773"/>
      <c r="E65" s="773"/>
      <c r="F65" s="773"/>
      <c r="G65" s="773"/>
      <c r="H65" s="773"/>
      <c r="I65" s="773"/>
      <c r="J65" s="773"/>
      <c r="K65" s="773"/>
      <c r="L65" s="773"/>
      <c r="M65" s="773"/>
      <c r="N65" s="773"/>
    </row>
    <row r="66" spans="1:14" x14ac:dyDescent="0.3">
      <c r="A66" s="773"/>
      <c r="B66" s="773"/>
      <c r="C66" s="773"/>
      <c r="D66" s="773"/>
      <c r="E66" s="773"/>
      <c r="F66" s="773"/>
      <c r="G66" s="773"/>
      <c r="H66" s="773"/>
      <c r="I66" s="773"/>
      <c r="J66" s="773"/>
      <c r="K66" s="773"/>
      <c r="L66" s="773"/>
      <c r="M66" s="773"/>
      <c r="N66" s="773"/>
    </row>
    <row r="67" spans="1:14" x14ac:dyDescent="0.3">
      <c r="A67" s="773"/>
      <c r="B67" s="773"/>
      <c r="C67" s="773"/>
      <c r="D67" s="773"/>
      <c r="E67" s="773"/>
      <c r="F67" s="773"/>
      <c r="G67" s="773"/>
      <c r="H67" s="773"/>
      <c r="I67" s="773"/>
      <c r="J67" s="773"/>
      <c r="K67" s="773"/>
      <c r="L67" s="773"/>
      <c r="M67" s="773"/>
      <c r="N67" s="773"/>
    </row>
    <row r="68" spans="1:14" x14ac:dyDescent="0.3">
      <c r="A68" s="773"/>
      <c r="B68" s="773"/>
      <c r="C68" s="773"/>
      <c r="D68" s="773"/>
      <c r="E68" s="773"/>
      <c r="F68" s="773"/>
      <c r="G68" s="773"/>
      <c r="H68" s="773"/>
      <c r="I68" s="773"/>
      <c r="J68" s="773"/>
      <c r="K68" s="773"/>
      <c r="L68" s="773"/>
      <c r="M68" s="773"/>
      <c r="N68" s="773"/>
    </row>
    <row r="69" spans="1:14" x14ac:dyDescent="0.3">
      <c r="A69" s="773"/>
      <c r="B69" s="773"/>
      <c r="C69" s="773"/>
      <c r="D69" s="773"/>
      <c r="E69" s="773"/>
      <c r="F69" s="773"/>
      <c r="G69" s="773"/>
      <c r="H69" s="773"/>
      <c r="I69" s="773"/>
      <c r="J69" s="773"/>
      <c r="K69" s="773"/>
      <c r="L69" s="773"/>
      <c r="M69" s="773"/>
      <c r="N69" s="773"/>
    </row>
    <row r="70" spans="1:14" x14ac:dyDescent="0.3">
      <c r="A70" s="773"/>
      <c r="B70" s="773"/>
      <c r="C70" s="773"/>
      <c r="D70" s="773"/>
      <c r="E70" s="773"/>
      <c r="F70" s="773"/>
      <c r="G70" s="773"/>
      <c r="H70" s="773"/>
      <c r="I70" s="773"/>
      <c r="J70" s="773"/>
      <c r="K70" s="773"/>
      <c r="L70" s="773"/>
      <c r="M70" s="773"/>
      <c r="N70" s="773"/>
    </row>
    <row r="71" spans="1:14" x14ac:dyDescent="0.3">
      <c r="A71" s="773"/>
      <c r="B71" s="773"/>
      <c r="C71" s="773"/>
      <c r="D71" s="773"/>
      <c r="E71" s="773"/>
      <c r="F71" s="773"/>
      <c r="G71" s="773"/>
      <c r="H71" s="773"/>
      <c r="I71" s="773"/>
      <c r="J71" s="773"/>
      <c r="K71" s="773"/>
      <c r="L71" s="773"/>
      <c r="M71" s="773"/>
      <c r="N71" s="773"/>
    </row>
    <row r="72" spans="1:14" x14ac:dyDescent="0.3">
      <c r="A72" s="773"/>
      <c r="B72" s="773"/>
      <c r="C72" s="773"/>
      <c r="D72" s="773"/>
      <c r="E72" s="773"/>
      <c r="F72" s="773"/>
      <c r="G72" s="773"/>
      <c r="H72" s="773"/>
      <c r="I72" s="773"/>
      <c r="J72" s="773"/>
      <c r="K72" s="773"/>
      <c r="L72" s="773"/>
      <c r="M72" s="773"/>
      <c r="N72" s="773"/>
    </row>
    <row r="73" spans="1:14" x14ac:dyDescent="0.3">
      <c r="A73" s="773"/>
      <c r="B73" s="773"/>
      <c r="C73" s="773"/>
      <c r="D73" s="773"/>
      <c r="E73" s="773"/>
      <c r="F73" s="773"/>
      <c r="G73" s="773"/>
      <c r="H73" s="773"/>
      <c r="I73" s="773"/>
      <c r="J73" s="773"/>
      <c r="K73" s="773"/>
      <c r="L73" s="773"/>
      <c r="M73" s="773"/>
      <c r="N73" s="773"/>
    </row>
    <row r="74" spans="1:14" x14ac:dyDescent="0.3">
      <c r="A74" s="773"/>
      <c r="B74" s="773"/>
      <c r="C74" s="773"/>
      <c r="D74" s="773"/>
      <c r="E74" s="773"/>
      <c r="F74" s="773"/>
      <c r="G74" s="773"/>
      <c r="H74" s="773"/>
      <c r="I74" s="773"/>
      <c r="J74" s="773"/>
      <c r="K74" s="773"/>
      <c r="L74" s="773"/>
      <c r="M74" s="773"/>
      <c r="N74" s="773"/>
    </row>
    <row r="75" spans="1:14" x14ac:dyDescent="0.3">
      <c r="A75" s="773"/>
      <c r="B75" s="773"/>
      <c r="C75" s="773"/>
      <c r="D75" s="773"/>
      <c r="E75" s="773"/>
      <c r="F75" s="773"/>
      <c r="G75" s="773"/>
      <c r="H75" s="773"/>
      <c r="I75" s="773"/>
      <c r="J75" s="773"/>
      <c r="K75" s="773"/>
      <c r="L75" s="773"/>
      <c r="M75" s="773"/>
      <c r="N75" s="773"/>
    </row>
    <row r="76" spans="1:14" x14ac:dyDescent="0.3">
      <c r="A76" s="773"/>
      <c r="B76" s="773"/>
      <c r="C76" s="773"/>
      <c r="D76" s="773"/>
      <c r="E76" s="773"/>
      <c r="F76" s="773"/>
      <c r="G76" s="773"/>
      <c r="H76" s="773"/>
      <c r="I76" s="773"/>
      <c r="J76" s="773"/>
      <c r="K76" s="773"/>
      <c r="L76" s="773"/>
      <c r="M76" s="773"/>
      <c r="N76" s="773"/>
    </row>
    <row r="77" spans="1:14" x14ac:dyDescent="0.3">
      <c r="A77" s="773"/>
      <c r="B77" s="773"/>
      <c r="C77" s="773"/>
      <c r="D77" s="773"/>
      <c r="E77" s="773"/>
      <c r="F77" s="773"/>
      <c r="G77" s="773"/>
      <c r="H77" s="773"/>
      <c r="I77" s="773"/>
      <c r="J77" s="773"/>
      <c r="K77" s="773"/>
      <c r="L77" s="773"/>
      <c r="M77" s="773"/>
      <c r="N77" s="773"/>
    </row>
    <row r="78" spans="1:14" x14ac:dyDescent="0.3">
      <c r="A78" s="773"/>
      <c r="B78" s="773"/>
      <c r="C78" s="773"/>
      <c r="D78" s="773"/>
      <c r="E78" s="773"/>
      <c r="F78" s="773"/>
      <c r="G78" s="773"/>
      <c r="H78" s="773"/>
      <c r="I78" s="773"/>
      <c r="J78" s="773"/>
      <c r="K78" s="773"/>
      <c r="L78" s="773"/>
      <c r="M78" s="773"/>
      <c r="N78" s="773"/>
    </row>
    <row r="79" spans="1:14" x14ac:dyDescent="0.3">
      <c r="A79" s="773"/>
      <c r="B79" s="773"/>
      <c r="C79" s="773"/>
      <c r="D79" s="773"/>
      <c r="E79" s="773"/>
      <c r="F79" s="773"/>
      <c r="G79" s="773"/>
      <c r="H79" s="773"/>
      <c r="I79" s="773"/>
      <c r="J79" s="773"/>
      <c r="K79" s="773"/>
      <c r="L79" s="773"/>
      <c r="M79" s="773"/>
      <c r="N79" s="773"/>
    </row>
    <row r="80" spans="1:14" x14ac:dyDescent="0.3">
      <c r="A80" s="773"/>
      <c r="B80" s="773"/>
      <c r="C80" s="773"/>
      <c r="D80" s="773"/>
      <c r="E80" s="773"/>
      <c r="F80" s="773"/>
      <c r="G80" s="773"/>
      <c r="H80" s="773"/>
      <c r="I80" s="773"/>
      <c r="J80" s="773"/>
      <c r="K80" s="773"/>
      <c r="L80" s="773"/>
      <c r="M80" s="773"/>
      <c r="N80" s="773"/>
    </row>
    <row r="81" spans="1:14" x14ac:dyDescent="0.3">
      <c r="A81" s="773"/>
      <c r="B81" s="773"/>
      <c r="C81" s="773"/>
      <c r="D81" s="773"/>
      <c r="E81" s="773"/>
      <c r="F81" s="773"/>
      <c r="G81" s="773"/>
      <c r="H81" s="773"/>
      <c r="I81" s="773"/>
      <c r="J81" s="773"/>
      <c r="K81" s="773"/>
      <c r="L81" s="773"/>
      <c r="M81" s="773"/>
      <c r="N81" s="773"/>
    </row>
    <row r="82" spans="1:14" x14ac:dyDescent="0.3">
      <c r="A82" s="773"/>
      <c r="B82" s="773"/>
      <c r="C82" s="773"/>
      <c r="D82" s="773"/>
      <c r="E82" s="773"/>
      <c r="F82" s="773"/>
      <c r="G82" s="773"/>
      <c r="H82" s="773"/>
      <c r="I82" s="773"/>
      <c r="J82" s="773"/>
      <c r="K82" s="773"/>
      <c r="L82" s="773"/>
      <c r="M82" s="773"/>
      <c r="N82" s="773"/>
    </row>
    <row r="83" spans="1:14" x14ac:dyDescent="0.3">
      <c r="A83" s="773"/>
      <c r="B83" s="773"/>
      <c r="C83" s="773"/>
      <c r="D83" s="773"/>
      <c r="E83" s="773"/>
      <c r="F83" s="773"/>
      <c r="G83" s="773"/>
      <c r="H83" s="773"/>
      <c r="I83" s="773"/>
      <c r="J83" s="773"/>
      <c r="K83" s="773"/>
      <c r="L83" s="773"/>
      <c r="M83" s="773"/>
      <c r="N83" s="773"/>
    </row>
    <row r="84" spans="1:14" x14ac:dyDescent="0.3">
      <c r="A84" s="773"/>
      <c r="B84" s="773"/>
      <c r="C84" s="773"/>
      <c r="D84" s="773"/>
      <c r="E84" s="773"/>
      <c r="F84" s="773"/>
      <c r="G84" s="773"/>
      <c r="H84" s="773"/>
      <c r="I84" s="773"/>
      <c r="J84" s="773"/>
      <c r="K84" s="773"/>
      <c r="L84" s="773"/>
      <c r="M84" s="773"/>
      <c r="N84" s="773"/>
    </row>
    <row r="85" spans="1:14" x14ac:dyDescent="0.3">
      <c r="A85" s="773"/>
      <c r="B85" s="773"/>
      <c r="C85" s="773"/>
      <c r="D85" s="773"/>
      <c r="E85" s="773"/>
      <c r="F85" s="773"/>
      <c r="G85" s="773"/>
      <c r="H85" s="773"/>
      <c r="I85" s="773"/>
      <c r="J85" s="773"/>
      <c r="K85" s="773"/>
      <c r="L85" s="773"/>
      <c r="M85" s="773"/>
      <c r="N85" s="773"/>
    </row>
    <row r="86" spans="1:14" x14ac:dyDescent="0.3">
      <c r="A86" s="773"/>
      <c r="B86" s="773"/>
      <c r="C86" s="773"/>
      <c r="D86" s="773"/>
      <c r="E86" s="773"/>
      <c r="F86" s="773"/>
      <c r="G86" s="773"/>
      <c r="H86" s="773"/>
      <c r="I86" s="773"/>
      <c r="J86" s="773"/>
      <c r="K86" s="773"/>
      <c r="L86" s="773"/>
      <c r="M86" s="773"/>
      <c r="N86" s="773"/>
    </row>
    <row r="87" spans="1:14" x14ac:dyDescent="0.3">
      <c r="A87" s="773"/>
      <c r="B87" s="773"/>
      <c r="C87" s="773"/>
      <c r="D87" s="773"/>
      <c r="E87" s="773"/>
      <c r="F87" s="773"/>
      <c r="G87" s="773"/>
      <c r="H87" s="773"/>
      <c r="I87" s="773"/>
      <c r="J87" s="773"/>
      <c r="K87" s="773"/>
      <c r="L87" s="773"/>
      <c r="M87" s="773"/>
      <c r="N87" s="773"/>
    </row>
    <row r="88" spans="1:14" x14ac:dyDescent="0.3">
      <c r="A88" s="773"/>
      <c r="B88" s="773"/>
      <c r="C88" s="773"/>
      <c r="D88" s="773"/>
      <c r="E88" s="773"/>
      <c r="F88" s="773"/>
      <c r="G88" s="773"/>
      <c r="H88" s="773"/>
      <c r="I88" s="773"/>
      <c r="J88" s="773"/>
      <c r="K88" s="773"/>
      <c r="L88" s="773"/>
      <c r="M88" s="773"/>
      <c r="N88" s="773"/>
    </row>
    <row r="89" spans="1:14" x14ac:dyDescent="0.3">
      <c r="A89" s="773"/>
      <c r="B89" s="773"/>
      <c r="C89" s="773"/>
      <c r="D89" s="773"/>
      <c r="E89" s="773"/>
      <c r="F89" s="773"/>
      <c r="G89" s="773"/>
      <c r="H89" s="773"/>
      <c r="I89" s="773"/>
      <c r="J89" s="773"/>
      <c r="K89" s="773"/>
      <c r="L89" s="773"/>
      <c r="M89" s="773"/>
      <c r="N89" s="773"/>
    </row>
    <row r="90" spans="1:14" x14ac:dyDescent="0.3">
      <c r="A90" s="773"/>
      <c r="B90" s="773"/>
      <c r="C90" s="773"/>
      <c r="D90" s="773"/>
      <c r="E90" s="773"/>
      <c r="F90" s="773"/>
      <c r="G90" s="773"/>
      <c r="H90" s="773"/>
      <c r="I90" s="773"/>
      <c r="J90" s="773"/>
      <c r="K90" s="773"/>
      <c r="L90" s="773"/>
      <c r="M90" s="773"/>
      <c r="N90" s="773"/>
    </row>
    <row r="91" spans="1:14" x14ac:dyDescent="0.3">
      <c r="A91" s="773"/>
      <c r="B91" s="773"/>
      <c r="C91" s="773"/>
      <c r="D91" s="773"/>
      <c r="E91" s="773"/>
      <c r="F91" s="773"/>
      <c r="G91" s="773"/>
      <c r="H91" s="773"/>
      <c r="I91" s="773"/>
      <c r="J91" s="773"/>
      <c r="K91" s="773"/>
      <c r="L91" s="773"/>
      <c r="M91" s="773"/>
      <c r="N91" s="773"/>
    </row>
    <row r="92" spans="1:14" x14ac:dyDescent="0.3">
      <c r="A92" s="773"/>
      <c r="B92" s="773"/>
      <c r="C92" s="773"/>
      <c r="D92" s="773"/>
      <c r="E92" s="773"/>
      <c r="F92" s="773"/>
      <c r="G92" s="773"/>
      <c r="H92" s="773"/>
      <c r="I92" s="773"/>
      <c r="J92" s="773"/>
      <c r="K92" s="773"/>
      <c r="L92" s="773"/>
      <c r="M92" s="773"/>
      <c r="N92" s="773"/>
    </row>
    <row r="93" spans="1:14" x14ac:dyDescent="0.3">
      <c r="A93" s="773"/>
      <c r="B93" s="773"/>
      <c r="C93" s="773"/>
      <c r="D93" s="773"/>
      <c r="E93" s="773"/>
      <c r="F93" s="773"/>
      <c r="G93" s="773"/>
      <c r="H93" s="773"/>
      <c r="I93" s="773"/>
      <c r="J93" s="773"/>
      <c r="K93" s="773"/>
      <c r="L93" s="773"/>
      <c r="M93" s="773"/>
      <c r="N93" s="773"/>
    </row>
    <row r="94" spans="1:14" x14ac:dyDescent="0.3">
      <c r="A94" s="773"/>
      <c r="B94" s="773"/>
      <c r="C94" s="773"/>
      <c r="D94" s="773"/>
      <c r="E94" s="773"/>
      <c r="F94" s="773"/>
      <c r="G94" s="773"/>
      <c r="H94" s="773"/>
      <c r="I94" s="773"/>
      <c r="J94" s="773"/>
      <c r="K94" s="773"/>
      <c r="L94" s="773"/>
      <c r="M94" s="773"/>
      <c r="N94" s="773"/>
    </row>
    <row r="95" spans="1:14" x14ac:dyDescent="0.3">
      <c r="A95" s="773"/>
      <c r="B95" s="773"/>
      <c r="C95" s="773"/>
      <c r="D95" s="773"/>
      <c r="E95" s="773"/>
      <c r="F95" s="773"/>
      <c r="G95" s="773"/>
      <c r="H95" s="773"/>
      <c r="I95" s="773"/>
      <c r="J95" s="773"/>
      <c r="K95" s="773"/>
      <c r="L95" s="773"/>
      <c r="M95" s="773"/>
      <c r="N95" s="773"/>
    </row>
    <row r="96" spans="1:14" x14ac:dyDescent="0.3">
      <c r="A96" s="773"/>
      <c r="B96" s="773"/>
      <c r="C96" s="773"/>
      <c r="D96" s="773"/>
      <c r="E96" s="773"/>
      <c r="F96" s="773"/>
      <c r="G96" s="773"/>
      <c r="H96" s="773"/>
      <c r="I96" s="773"/>
      <c r="J96" s="773"/>
      <c r="K96" s="773"/>
      <c r="L96" s="773"/>
      <c r="M96" s="773"/>
      <c r="N96" s="773"/>
    </row>
    <row r="97" spans="1:14" x14ac:dyDescent="0.3">
      <c r="A97" s="773"/>
      <c r="B97" s="773"/>
      <c r="C97" s="773"/>
      <c r="D97" s="773"/>
      <c r="E97" s="773"/>
      <c r="F97" s="773"/>
      <c r="G97" s="773"/>
      <c r="H97" s="773"/>
      <c r="I97" s="773"/>
      <c r="J97" s="773"/>
      <c r="K97" s="773"/>
      <c r="L97" s="773"/>
      <c r="M97" s="773"/>
      <c r="N97" s="773"/>
    </row>
    <row r="98" spans="1:14" x14ac:dyDescent="0.3">
      <c r="A98" s="773"/>
      <c r="B98" s="773"/>
      <c r="C98" s="773"/>
      <c r="D98" s="773"/>
      <c r="E98" s="773"/>
      <c r="F98" s="773"/>
      <c r="G98" s="773"/>
      <c r="H98" s="773"/>
      <c r="I98" s="773"/>
      <c r="J98" s="773"/>
      <c r="K98" s="773"/>
      <c r="L98" s="773"/>
      <c r="M98" s="773"/>
      <c r="N98" s="773"/>
    </row>
    <row r="99" spans="1:14" x14ac:dyDescent="0.3">
      <c r="A99" s="773"/>
      <c r="B99" s="773"/>
      <c r="C99" s="773"/>
      <c r="D99" s="773"/>
      <c r="E99" s="773"/>
      <c r="F99" s="773"/>
      <c r="G99" s="773"/>
      <c r="H99" s="773"/>
      <c r="I99" s="773"/>
      <c r="J99" s="773"/>
      <c r="K99" s="773"/>
      <c r="L99" s="773"/>
      <c r="M99" s="773"/>
      <c r="N99" s="773"/>
    </row>
    <row r="100" spans="1:14" x14ac:dyDescent="0.3">
      <c r="A100" s="773"/>
      <c r="B100" s="773"/>
      <c r="C100" s="773"/>
      <c r="D100" s="773"/>
      <c r="E100" s="773"/>
      <c r="F100" s="773"/>
      <c r="G100" s="773"/>
      <c r="H100" s="773"/>
      <c r="I100" s="773"/>
      <c r="J100" s="773"/>
      <c r="K100" s="773"/>
      <c r="L100" s="773"/>
      <c r="M100" s="773"/>
      <c r="N100" s="773"/>
    </row>
    <row r="101" spans="1:14" x14ac:dyDescent="0.3">
      <c r="A101" s="773"/>
      <c r="B101" s="773"/>
      <c r="C101" s="773"/>
      <c r="D101" s="773"/>
      <c r="E101" s="773"/>
      <c r="F101" s="773"/>
      <c r="G101" s="773"/>
      <c r="H101" s="773"/>
      <c r="I101" s="773"/>
      <c r="J101" s="773"/>
      <c r="K101" s="773"/>
      <c r="L101" s="773"/>
      <c r="M101" s="773"/>
      <c r="N101" s="773"/>
    </row>
    <row r="102" spans="1:14" x14ac:dyDescent="0.3">
      <c r="A102" s="773"/>
      <c r="B102" s="773"/>
      <c r="C102" s="773"/>
      <c r="D102" s="773"/>
      <c r="E102" s="773"/>
      <c r="F102" s="773"/>
      <c r="G102" s="773"/>
      <c r="H102" s="773"/>
      <c r="I102" s="773"/>
      <c r="J102" s="773"/>
      <c r="K102" s="773"/>
      <c r="L102" s="773"/>
      <c r="M102" s="773"/>
      <c r="N102" s="773"/>
    </row>
    <row r="103" spans="1:14" x14ac:dyDescent="0.3">
      <c r="A103" s="773"/>
      <c r="B103" s="773"/>
      <c r="C103" s="773"/>
      <c r="D103" s="773"/>
      <c r="E103" s="773"/>
      <c r="F103" s="773"/>
      <c r="G103" s="773"/>
      <c r="H103" s="773"/>
      <c r="I103" s="773"/>
      <c r="J103" s="773"/>
      <c r="K103" s="773"/>
      <c r="L103" s="773"/>
      <c r="M103" s="773"/>
      <c r="N103" s="773"/>
    </row>
    <row r="104" spans="1:14" x14ac:dyDescent="0.3">
      <c r="A104" s="773"/>
      <c r="B104" s="773"/>
      <c r="C104" s="773"/>
      <c r="D104" s="773"/>
      <c r="E104" s="773"/>
      <c r="F104" s="773"/>
      <c r="G104" s="773"/>
      <c r="H104" s="773"/>
      <c r="I104" s="773"/>
      <c r="J104" s="773"/>
      <c r="K104" s="773"/>
      <c r="L104" s="773"/>
      <c r="M104" s="773"/>
      <c r="N104" s="773"/>
    </row>
    <row r="105" spans="1:14" x14ac:dyDescent="0.3">
      <c r="A105" s="773"/>
      <c r="B105" s="773"/>
      <c r="C105" s="773"/>
      <c r="D105" s="773"/>
      <c r="E105" s="773"/>
      <c r="F105" s="773"/>
      <c r="G105" s="773"/>
      <c r="H105" s="773"/>
      <c r="I105" s="773"/>
      <c r="J105" s="773"/>
      <c r="K105" s="773"/>
      <c r="L105" s="773"/>
      <c r="M105" s="773"/>
      <c r="N105" s="773"/>
    </row>
    <row r="106" spans="1:14" x14ac:dyDescent="0.3">
      <c r="A106" s="773"/>
      <c r="B106" s="773"/>
      <c r="C106" s="773"/>
      <c r="D106" s="773"/>
      <c r="E106" s="773"/>
      <c r="F106" s="773"/>
      <c r="G106" s="773"/>
      <c r="H106" s="773"/>
      <c r="I106" s="773"/>
      <c r="J106" s="773"/>
      <c r="K106" s="773"/>
      <c r="L106" s="773"/>
      <c r="M106" s="773"/>
      <c r="N106" s="773"/>
    </row>
    <row r="107" spans="1:14" x14ac:dyDescent="0.3">
      <c r="A107" s="773"/>
      <c r="B107" s="773"/>
      <c r="C107" s="773"/>
      <c r="D107" s="773"/>
      <c r="E107" s="773"/>
      <c r="F107" s="773"/>
      <c r="G107" s="773"/>
      <c r="H107" s="773"/>
      <c r="I107" s="773"/>
      <c r="J107" s="773"/>
      <c r="K107" s="773"/>
      <c r="L107" s="773"/>
      <c r="M107" s="773"/>
      <c r="N107" s="773"/>
    </row>
    <row r="108" spans="1:14" x14ac:dyDescent="0.3">
      <c r="A108" s="773"/>
      <c r="B108" s="773"/>
      <c r="C108" s="773"/>
      <c r="D108" s="773"/>
      <c r="E108" s="773"/>
      <c r="F108" s="773"/>
      <c r="G108" s="773"/>
      <c r="H108" s="773"/>
      <c r="I108" s="773"/>
      <c r="J108" s="773"/>
      <c r="K108" s="773"/>
      <c r="L108" s="773"/>
      <c r="M108" s="773"/>
      <c r="N108" s="773"/>
    </row>
    <row r="109" spans="1:14" x14ac:dyDescent="0.3">
      <c r="A109" s="773"/>
      <c r="B109" s="773"/>
      <c r="C109" s="773"/>
      <c r="D109" s="773"/>
      <c r="E109" s="773"/>
      <c r="F109" s="773"/>
      <c r="G109" s="773"/>
      <c r="H109" s="773"/>
      <c r="I109" s="773"/>
      <c r="J109" s="773"/>
      <c r="K109" s="773"/>
      <c r="L109" s="773"/>
      <c r="M109" s="773"/>
      <c r="N109" s="773"/>
    </row>
    <row r="110" spans="1:14" x14ac:dyDescent="0.3">
      <c r="A110" s="773"/>
      <c r="B110" s="773"/>
      <c r="C110" s="773"/>
      <c r="D110" s="773"/>
      <c r="E110" s="773"/>
      <c r="F110" s="773"/>
      <c r="G110" s="773"/>
      <c r="H110" s="773"/>
      <c r="I110" s="773"/>
      <c r="J110" s="773"/>
      <c r="K110" s="773"/>
      <c r="L110" s="773"/>
      <c r="M110" s="773"/>
      <c r="N110" s="773"/>
    </row>
    <row r="111" spans="1:14" x14ac:dyDescent="0.3">
      <c r="A111" s="773"/>
      <c r="B111" s="773"/>
      <c r="C111" s="773"/>
      <c r="D111" s="773"/>
      <c r="E111" s="773"/>
      <c r="F111" s="773"/>
      <c r="G111" s="773"/>
      <c r="H111" s="773"/>
      <c r="I111" s="773"/>
      <c r="J111" s="773"/>
      <c r="K111" s="773"/>
      <c r="L111" s="773"/>
      <c r="M111" s="773"/>
      <c r="N111" s="773"/>
    </row>
    <row r="112" spans="1:14" x14ac:dyDescent="0.3">
      <c r="A112" s="773"/>
      <c r="B112" s="773"/>
      <c r="C112" s="773"/>
      <c r="D112" s="773"/>
      <c r="E112" s="773"/>
      <c r="F112" s="773"/>
      <c r="G112" s="773"/>
      <c r="H112" s="773"/>
      <c r="I112" s="773"/>
      <c r="J112" s="773"/>
      <c r="K112" s="773"/>
      <c r="L112" s="773"/>
      <c r="M112" s="773"/>
      <c r="N112" s="773"/>
    </row>
    <row r="113" spans="1:14" x14ac:dyDescent="0.3">
      <c r="A113" s="773"/>
      <c r="B113" s="773"/>
      <c r="C113" s="773"/>
      <c r="D113" s="773"/>
      <c r="E113" s="773"/>
      <c r="F113" s="773"/>
      <c r="G113" s="773"/>
      <c r="H113" s="773"/>
      <c r="I113" s="773"/>
      <c r="J113" s="773"/>
      <c r="K113" s="773"/>
      <c r="L113" s="773"/>
      <c r="M113" s="773"/>
      <c r="N113" s="773"/>
    </row>
    <row r="114" spans="1:14" x14ac:dyDescent="0.3">
      <c r="A114" s="773"/>
      <c r="B114" s="773"/>
      <c r="C114" s="773"/>
      <c r="D114" s="773"/>
      <c r="E114" s="773"/>
      <c r="F114" s="773"/>
      <c r="G114" s="773"/>
      <c r="H114" s="773"/>
      <c r="I114" s="773"/>
      <c r="J114" s="773"/>
      <c r="K114" s="773"/>
      <c r="L114" s="773"/>
      <c r="M114" s="773"/>
      <c r="N114" s="773"/>
    </row>
    <row r="115" spans="1:14" x14ac:dyDescent="0.3">
      <c r="A115" s="773"/>
      <c r="B115" s="773"/>
      <c r="C115" s="773"/>
      <c r="D115" s="773"/>
      <c r="E115" s="773"/>
      <c r="F115" s="773"/>
      <c r="G115" s="773"/>
      <c r="H115" s="773"/>
      <c r="I115" s="773"/>
      <c r="J115" s="773"/>
      <c r="K115" s="773"/>
      <c r="L115" s="773"/>
      <c r="M115" s="773"/>
      <c r="N115" s="773"/>
    </row>
    <row r="116" spans="1:14" x14ac:dyDescent="0.3">
      <c r="A116" s="773"/>
      <c r="B116" s="773"/>
      <c r="C116" s="773"/>
      <c r="D116" s="773"/>
      <c r="E116" s="773"/>
      <c r="F116" s="773"/>
      <c r="G116" s="773"/>
      <c r="H116" s="773"/>
      <c r="I116" s="773"/>
      <c r="J116" s="773"/>
      <c r="K116" s="773"/>
      <c r="L116" s="773"/>
      <c r="M116" s="773"/>
      <c r="N116" s="773"/>
    </row>
    <row r="117" spans="1:14" x14ac:dyDescent="0.3">
      <c r="A117" s="773"/>
      <c r="B117" s="773"/>
      <c r="C117" s="773"/>
      <c r="D117" s="773"/>
      <c r="E117" s="773"/>
      <c r="F117" s="773"/>
      <c r="G117" s="773"/>
      <c r="H117" s="773"/>
      <c r="I117" s="773"/>
      <c r="J117" s="773"/>
      <c r="K117" s="773"/>
      <c r="L117" s="773"/>
      <c r="M117" s="773"/>
      <c r="N117" s="773"/>
    </row>
    <row r="118" spans="1:14" x14ac:dyDescent="0.3">
      <c r="A118" s="773"/>
      <c r="B118" s="773"/>
      <c r="C118" s="773"/>
      <c r="D118" s="773"/>
      <c r="E118" s="773"/>
      <c r="F118" s="773"/>
      <c r="G118" s="773"/>
      <c r="H118" s="773"/>
      <c r="I118" s="773"/>
      <c r="J118" s="773"/>
      <c r="K118" s="773"/>
      <c r="L118" s="773"/>
      <c r="M118" s="773"/>
      <c r="N118" s="773"/>
    </row>
    <row r="119" spans="1:14" x14ac:dyDescent="0.3">
      <c r="A119" s="773"/>
      <c r="B119" s="773"/>
      <c r="C119" s="773"/>
      <c r="D119" s="773"/>
      <c r="E119" s="773"/>
      <c r="F119" s="773"/>
      <c r="G119" s="773"/>
      <c r="H119" s="773"/>
      <c r="I119" s="773"/>
      <c r="J119" s="773"/>
      <c r="K119" s="773"/>
      <c r="L119" s="773"/>
      <c r="M119" s="773"/>
      <c r="N119" s="773"/>
    </row>
    <row r="120" spans="1:14" x14ac:dyDescent="0.3">
      <c r="A120" s="773"/>
      <c r="B120" s="773"/>
      <c r="C120" s="773"/>
      <c r="D120" s="773"/>
      <c r="E120" s="773"/>
      <c r="F120" s="773"/>
      <c r="G120" s="773"/>
      <c r="H120" s="773"/>
      <c r="I120" s="773"/>
      <c r="J120" s="773"/>
      <c r="K120" s="773"/>
      <c r="L120" s="773"/>
      <c r="M120" s="773"/>
      <c r="N120" s="773"/>
    </row>
    <row r="121" spans="1:14" x14ac:dyDescent="0.3">
      <c r="A121" s="773"/>
      <c r="B121" s="773"/>
      <c r="C121" s="773"/>
      <c r="D121" s="773"/>
      <c r="E121" s="773"/>
      <c r="F121" s="773"/>
      <c r="G121" s="773"/>
      <c r="H121" s="773"/>
      <c r="I121" s="773"/>
      <c r="J121" s="773"/>
      <c r="K121" s="773"/>
      <c r="L121" s="773"/>
      <c r="M121" s="773"/>
      <c r="N121" s="773"/>
    </row>
    <row r="122" spans="1:14" x14ac:dyDescent="0.3">
      <c r="A122" s="773"/>
      <c r="B122" s="773"/>
      <c r="C122" s="773"/>
      <c r="D122" s="773"/>
      <c r="E122" s="773"/>
      <c r="F122" s="773"/>
      <c r="G122" s="773"/>
      <c r="H122" s="773"/>
      <c r="I122" s="773"/>
      <c r="J122" s="773"/>
      <c r="K122" s="773"/>
      <c r="L122" s="773"/>
      <c r="M122" s="773"/>
      <c r="N122" s="773"/>
    </row>
    <row r="123" spans="1:14" x14ac:dyDescent="0.3">
      <c r="A123" s="773"/>
      <c r="B123" s="773"/>
      <c r="C123" s="773"/>
      <c r="D123" s="773"/>
      <c r="E123" s="773"/>
      <c r="F123" s="773"/>
      <c r="G123" s="773"/>
      <c r="H123" s="773"/>
      <c r="I123" s="773"/>
      <c r="J123" s="773"/>
      <c r="K123" s="773"/>
      <c r="L123" s="773"/>
      <c r="M123" s="773"/>
      <c r="N123" s="773"/>
    </row>
    <row r="124" spans="1:14" x14ac:dyDescent="0.3">
      <c r="A124" s="773"/>
      <c r="B124" s="773"/>
      <c r="C124" s="773"/>
      <c r="D124" s="773"/>
      <c r="E124" s="773"/>
      <c r="F124" s="773"/>
      <c r="G124" s="773"/>
      <c r="H124" s="773"/>
      <c r="I124" s="773"/>
      <c r="J124" s="773"/>
      <c r="K124" s="773"/>
      <c r="L124" s="773"/>
      <c r="M124" s="773"/>
      <c r="N124" s="773"/>
    </row>
    <row r="125" spans="1:14" x14ac:dyDescent="0.3">
      <c r="A125" s="773"/>
      <c r="B125" s="773"/>
      <c r="C125" s="773"/>
      <c r="D125" s="773"/>
      <c r="E125" s="773"/>
      <c r="F125" s="773"/>
      <c r="G125" s="773"/>
      <c r="H125" s="773"/>
      <c r="I125" s="773"/>
      <c r="J125" s="773"/>
      <c r="K125" s="773"/>
      <c r="L125" s="773"/>
      <c r="M125" s="773"/>
      <c r="N125" s="773"/>
    </row>
    <row r="126" spans="1:14" x14ac:dyDescent="0.3">
      <c r="A126" s="773"/>
      <c r="B126" s="773"/>
      <c r="C126" s="773"/>
      <c r="D126" s="773"/>
      <c r="E126" s="773"/>
      <c r="F126" s="773"/>
      <c r="G126" s="773"/>
      <c r="H126" s="773"/>
      <c r="I126" s="773"/>
      <c r="J126" s="773"/>
      <c r="K126" s="773"/>
      <c r="L126" s="773"/>
      <c r="M126" s="773"/>
      <c r="N126" s="773"/>
    </row>
    <row r="127" spans="1:14" x14ac:dyDescent="0.3">
      <c r="A127" s="773"/>
      <c r="B127" s="773"/>
      <c r="C127" s="773"/>
      <c r="D127" s="773"/>
      <c r="E127" s="773"/>
      <c r="F127" s="773"/>
      <c r="G127" s="773"/>
      <c r="H127" s="773"/>
      <c r="I127" s="773"/>
      <c r="J127" s="773"/>
      <c r="K127" s="773"/>
      <c r="L127" s="773"/>
      <c r="M127" s="773"/>
      <c r="N127" s="773"/>
    </row>
    <row r="128" spans="1:14" x14ac:dyDescent="0.3">
      <c r="A128" s="773"/>
      <c r="B128" s="773"/>
      <c r="C128" s="773"/>
      <c r="D128" s="773"/>
      <c r="E128" s="773"/>
      <c r="F128" s="773"/>
      <c r="G128" s="773"/>
      <c r="H128" s="773"/>
      <c r="I128" s="773"/>
      <c r="J128" s="773"/>
      <c r="K128" s="773"/>
      <c r="L128" s="773"/>
      <c r="M128" s="773"/>
      <c r="N128" s="773"/>
    </row>
    <row r="129" spans="1:14" x14ac:dyDescent="0.3">
      <c r="A129" s="773"/>
      <c r="B129" s="773"/>
      <c r="C129" s="773"/>
      <c r="D129" s="773"/>
      <c r="E129" s="773"/>
      <c r="F129" s="773"/>
      <c r="G129" s="773"/>
      <c r="H129" s="773"/>
      <c r="I129" s="773"/>
      <c r="J129" s="773"/>
      <c r="K129" s="773"/>
      <c r="L129" s="773"/>
      <c r="M129" s="773"/>
      <c r="N129" s="773"/>
    </row>
    <row r="130" spans="1:14" x14ac:dyDescent="0.3">
      <c r="A130" s="773"/>
      <c r="B130" s="773"/>
      <c r="C130" s="773"/>
      <c r="D130" s="773"/>
      <c r="E130" s="773"/>
      <c r="F130" s="773"/>
      <c r="G130" s="773"/>
      <c r="H130" s="773"/>
      <c r="I130" s="773"/>
      <c r="J130" s="773"/>
      <c r="K130" s="773"/>
      <c r="L130" s="773"/>
      <c r="M130" s="773"/>
      <c r="N130" s="773"/>
    </row>
    <row r="131" spans="1:14" x14ac:dyDescent="0.3">
      <c r="A131" s="773"/>
      <c r="B131" s="773"/>
      <c r="C131" s="773"/>
      <c r="D131" s="773"/>
      <c r="E131" s="773"/>
      <c r="F131" s="773"/>
      <c r="G131" s="773"/>
      <c r="H131" s="773"/>
      <c r="I131" s="773"/>
      <c r="J131" s="773"/>
      <c r="K131" s="773"/>
      <c r="L131" s="773"/>
      <c r="M131" s="773"/>
      <c r="N131" s="773"/>
    </row>
    <row r="132" spans="1:14" x14ac:dyDescent="0.3">
      <c r="A132" s="773"/>
      <c r="B132" s="773"/>
      <c r="C132" s="773"/>
      <c r="D132" s="773"/>
      <c r="E132" s="773"/>
      <c r="F132" s="773"/>
      <c r="G132" s="773"/>
      <c r="H132" s="773"/>
      <c r="I132" s="773"/>
      <c r="J132" s="773"/>
      <c r="K132" s="773"/>
      <c r="L132" s="773"/>
      <c r="M132" s="773"/>
      <c r="N132" s="773"/>
    </row>
    <row r="133" spans="1:14" x14ac:dyDescent="0.3">
      <c r="A133" s="773"/>
      <c r="B133" s="773"/>
      <c r="C133" s="773"/>
      <c r="D133" s="773"/>
      <c r="E133" s="773"/>
      <c r="F133" s="773"/>
      <c r="G133" s="773"/>
      <c r="H133" s="773"/>
      <c r="I133" s="773"/>
      <c r="J133" s="773"/>
      <c r="K133" s="773"/>
      <c r="L133" s="773"/>
      <c r="M133" s="773"/>
      <c r="N133" s="773"/>
    </row>
    <row r="134" spans="1:14" x14ac:dyDescent="0.3">
      <c r="A134" s="773"/>
      <c r="B134" s="773"/>
      <c r="C134" s="773"/>
      <c r="D134" s="773"/>
      <c r="E134" s="773"/>
      <c r="F134" s="773"/>
      <c r="G134" s="773"/>
      <c r="H134" s="773"/>
      <c r="I134" s="773"/>
      <c r="J134" s="773"/>
      <c r="K134" s="773"/>
      <c r="L134" s="773"/>
      <c r="M134" s="773"/>
      <c r="N134" s="773"/>
    </row>
    <row r="135" spans="1:14" x14ac:dyDescent="0.3">
      <c r="A135" s="773"/>
      <c r="B135" s="773"/>
      <c r="C135" s="773"/>
      <c r="D135" s="773"/>
      <c r="E135" s="773"/>
      <c r="F135" s="773"/>
      <c r="G135" s="773"/>
      <c r="H135" s="773"/>
      <c r="I135" s="773"/>
      <c r="J135" s="773"/>
      <c r="K135" s="773"/>
      <c r="L135" s="773"/>
      <c r="M135" s="773"/>
      <c r="N135" s="773"/>
    </row>
    <row r="136" spans="1:14" x14ac:dyDescent="0.3">
      <c r="A136" s="773"/>
      <c r="B136" s="773"/>
      <c r="C136" s="773"/>
      <c r="D136" s="773"/>
      <c r="E136" s="773"/>
      <c r="F136" s="773"/>
      <c r="G136" s="773"/>
      <c r="H136" s="773"/>
      <c r="I136" s="773"/>
      <c r="J136" s="773"/>
      <c r="K136" s="773"/>
      <c r="L136" s="773"/>
      <c r="M136" s="773"/>
      <c r="N136" s="773"/>
    </row>
    <row r="137" spans="1:14" x14ac:dyDescent="0.3">
      <c r="A137" s="773"/>
      <c r="B137" s="773"/>
      <c r="C137" s="773"/>
      <c r="D137" s="773"/>
      <c r="E137" s="773"/>
      <c r="F137" s="773"/>
      <c r="G137" s="773"/>
      <c r="H137" s="773"/>
      <c r="I137" s="773"/>
      <c r="J137" s="773"/>
      <c r="K137" s="773"/>
      <c r="L137" s="773"/>
      <c r="M137" s="773"/>
      <c r="N137" s="773"/>
    </row>
    <row r="138" spans="1:14" x14ac:dyDescent="0.3">
      <c r="A138" s="773"/>
      <c r="B138" s="773"/>
      <c r="C138" s="773"/>
      <c r="D138" s="773"/>
      <c r="E138" s="773"/>
      <c r="F138" s="773"/>
      <c r="G138" s="773"/>
      <c r="H138" s="773"/>
      <c r="I138" s="773"/>
      <c r="J138" s="773"/>
      <c r="K138" s="773"/>
      <c r="L138" s="773"/>
      <c r="M138" s="773"/>
      <c r="N138" s="773"/>
    </row>
    <row r="139" spans="1:14" x14ac:dyDescent="0.3">
      <c r="A139" s="773"/>
      <c r="B139" s="773"/>
      <c r="C139" s="773"/>
      <c r="D139" s="773"/>
      <c r="E139" s="773"/>
      <c r="F139" s="773"/>
      <c r="G139" s="773"/>
      <c r="H139" s="773"/>
      <c r="I139" s="773"/>
      <c r="J139" s="773"/>
      <c r="K139" s="773"/>
      <c r="L139" s="773"/>
      <c r="M139" s="773"/>
      <c r="N139" s="773"/>
    </row>
    <row r="140" spans="1:14" x14ac:dyDescent="0.3">
      <c r="A140" s="773"/>
      <c r="B140" s="773"/>
      <c r="C140" s="773"/>
      <c r="D140" s="773"/>
      <c r="E140" s="773"/>
      <c r="F140" s="773"/>
      <c r="G140" s="773"/>
      <c r="H140" s="773"/>
      <c r="I140" s="773"/>
      <c r="J140" s="773"/>
      <c r="K140" s="773"/>
      <c r="L140" s="773"/>
      <c r="M140" s="773"/>
      <c r="N140" s="773"/>
    </row>
    <row r="141" spans="1:14" x14ac:dyDescent="0.3">
      <c r="A141" s="773"/>
      <c r="B141" s="773"/>
      <c r="C141" s="773"/>
      <c r="D141" s="773"/>
      <c r="E141" s="773"/>
      <c r="F141" s="773"/>
      <c r="G141" s="773"/>
      <c r="H141" s="773"/>
      <c r="I141" s="773"/>
      <c r="J141" s="773"/>
      <c r="K141" s="773"/>
      <c r="L141" s="773"/>
      <c r="M141" s="773"/>
      <c r="N141" s="773"/>
    </row>
    <row r="142" spans="1:14" x14ac:dyDescent="0.3">
      <c r="A142" s="773"/>
      <c r="B142" s="773"/>
      <c r="C142" s="773"/>
      <c r="D142" s="773"/>
      <c r="E142" s="773"/>
      <c r="F142" s="773"/>
      <c r="G142" s="773"/>
      <c r="H142" s="773"/>
      <c r="I142" s="773"/>
      <c r="J142" s="773"/>
      <c r="K142" s="773"/>
      <c r="L142" s="773"/>
      <c r="M142" s="773"/>
      <c r="N142" s="773"/>
    </row>
    <row r="143" spans="1:14" x14ac:dyDescent="0.3">
      <c r="A143" s="773"/>
      <c r="B143" s="773"/>
      <c r="C143" s="773"/>
      <c r="D143" s="773"/>
      <c r="E143" s="773"/>
      <c r="F143" s="773"/>
      <c r="G143" s="773"/>
      <c r="H143" s="773"/>
      <c r="I143" s="773"/>
      <c r="J143" s="773"/>
      <c r="K143" s="773"/>
      <c r="L143" s="773"/>
      <c r="M143" s="773"/>
      <c r="N143" s="773"/>
    </row>
    <row r="144" spans="1:14" x14ac:dyDescent="0.3">
      <c r="A144" s="773"/>
      <c r="B144" s="773"/>
      <c r="C144" s="773"/>
      <c r="D144" s="773"/>
      <c r="E144" s="773"/>
      <c r="F144" s="773"/>
      <c r="G144" s="773"/>
      <c r="H144" s="773"/>
      <c r="I144" s="773"/>
      <c r="J144" s="773"/>
      <c r="K144" s="773"/>
      <c r="L144" s="773"/>
      <c r="M144" s="773"/>
      <c r="N144" s="773"/>
    </row>
    <row r="145" spans="1:14" x14ac:dyDescent="0.3">
      <c r="A145" s="773"/>
      <c r="B145" s="773"/>
      <c r="C145" s="773"/>
      <c r="D145" s="773"/>
      <c r="E145" s="773"/>
      <c r="F145" s="773"/>
      <c r="G145" s="773"/>
      <c r="H145" s="773"/>
      <c r="I145" s="773"/>
      <c r="J145" s="773"/>
      <c r="K145" s="773"/>
      <c r="L145" s="773"/>
      <c r="M145" s="773"/>
      <c r="N145" s="773"/>
    </row>
    <row r="146" spans="1:14" x14ac:dyDescent="0.3">
      <c r="A146" s="773"/>
      <c r="B146" s="773"/>
      <c r="C146" s="773"/>
      <c r="D146" s="773"/>
      <c r="E146" s="773"/>
      <c r="F146" s="773"/>
      <c r="G146" s="773"/>
      <c r="H146" s="773"/>
      <c r="I146" s="773"/>
      <c r="J146" s="773"/>
      <c r="K146" s="773"/>
      <c r="L146" s="773"/>
      <c r="M146" s="773"/>
      <c r="N146" s="773"/>
    </row>
    <row r="147" spans="1:14" x14ac:dyDescent="0.3">
      <c r="A147" s="773"/>
      <c r="B147" s="773"/>
      <c r="C147" s="773"/>
      <c r="D147" s="773"/>
      <c r="E147" s="773"/>
      <c r="F147" s="773"/>
      <c r="G147" s="773"/>
      <c r="H147" s="773"/>
      <c r="I147" s="773"/>
      <c r="J147" s="773"/>
      <c r="K147" s="773"/>
      <c r="L147" s="773"/>
      <c r="M147" s="773"/>
      <c r="N147" s="773"/>
    </row>
    <row r="148" spans="1:14" x14ac:dyDescent="0.3">
      <c r="A148" s="773"/>
      <c r="B148" s="773"/>
      <c r="C148" s="773"/>
      <c r="D148" s="773"/>
      <c r="E148" s="773"/>
      <c r="F148" s="773"/>
      <c r="G148" s="773"/>
      <c r="H148" s="773"/>
      <c r="I148" s="773"/>
      <c r="J148" s="773"/>
      <c r="K148" s="773"/>
      <c r="L148" s="773"/>
      <c r="M148" s="773"/>
      <c r="N148" s="773"/>
    </row>
    <row r="149" spans="1:14" x14ac:dyDescent="0.3">
      <c r="A149" s="773"/>
      <c r="B149" s="773"/>
      <c r="C149" s="773"/>
      <c r="D149" s="773"/>
      <c r="E149" s="773"/>
      <c r="F149" s="773"/>
      <c r="G149" s="773"/>
      <c r="H149" s="773"/>
      <c r="I149" s="773"/>
      <c r="J149" s="773"/>
      <c r="K149" s="773"/>
      <c r="L149" s="773"/>
      <c r="M149" s="773"/>
      <c r="N149" s="773"/>
    </row>
    <row r="150" spans="1:14" x14ac:dyDescent="0.3">
      <c r="A150" s="773"/>
      <c r="B150" s="773"/>
      <c r="C150" s="773"/>
      <c r="D150" s="773"/>
      <c r="E150" s="773"/>
      <c r="F150" s="773"/>
      <c r="G150" s="773"/>
      <c r="H150" s="773"/>
      <c r="I150" s="773"/>
      <c r="J150" s="773"/>
      <c r="K150" s="773"/>
      <c r="L150" s="773"/>
      <c r="M150" s="773"/>
      <c r="N150" s="773"/>
    </row>
    <row r="151" spans="1:14" x14ac:dyDescent="0.3">
      <c r="A151" s="773"/>
      <c r="B151" s="773"/>
      <c r="C151" s="773"/>
      <c r="D151" s="773"/>
      <c r="E151" s="773"/>
      <c r="F151" s="773"/>
      <c r="G151" s="773"/>
      <c r="H151" s="773"/>
      <c r="I151" s="773"/>
      <c r="J151" s="773"/>
      <c r="K151" s="773"/>
      <c r="L151" s="773"/>
      <c r="M151" s="773"/>
      <c r="N151" s="773"/>
    </row>
    <row r="152" spans="1:14" x14ac:dyDescent="0.3">
      <c r="A152" s="773"/>
      <c r="B152" s="773"/>
      <c r="C152" s="773"/>
      <c r="D152" s="773"/>
      <c r="E152" s="773"/>
      <c r="F152" s="773"/>
      <c r="G152" s="773"/>
      <c r="H152" s="773"/>
      <c r="I152" s="773"/>
      <c r="J152" s="773"/>
      <c r="K152" s="773"/>
      <c r="L152" s="773"/>
      <c r="M152" s="773"/>
      <c r="N152" s="773"/>
    </row>
    <row r="153" spans="1:14" x14ac:dyDescent="0.3">
      <c r="A153" s="773"/>
      <c r="B153" s="773"/>
      <c r="C153" s="773"/>
      <c r="D153" s="773"/>
      <c r="E153" s="773"/>
      <c r="F153" s="773"/>
      <c r="G153" s="773"/>
      <c r="H153" s="773"/>
      <c r="I153" s="773"/>
      <c r="J153" s="773"/>
      <c r="K153" s="773"/>
      <c r="L153" s="773"/>
      <c r="M153" s="773"/>
      <c r="N153" s="773"/>
    </row>
    <row r="154" spans="1:14" x14ac:dyDescent="0.3">
      <c r="A154" s="773"/>
      <c r="B154" s="773"/>
      <c r="C154" s="773"/>
      <c r="D154" s="773"/>
      <c r="E154" s="773"/>
      <c r="F154" s="773"/>
      <c r="G154" s="773"/>
      <c r="H154" s="773"/>
      <c r="I154" s="773"/>
      <c r="J154" s="773"/>
      <c r="K154" s="773"/>
      <c r="L154" s="773"/>
      <c r="M154" s="773"/>
      <c r="N154" s="773"/>
    </row>
    <row r="155" spans="1:14" x14ac:dyDescent="0.3">
      <c r="A155" s="773"/>
      <c r="B155" s="773"/>
      <c r="C155" s="773"/>
      <c r="D155" s="773"/>
      <c r="E155" s="773"/>
      <c r="F155" s="773"/>
      <c r="G155" s="773"/>
      <c r="H155" s="773"/>
      <c r="I155" s="773"/>
      <c r="J155" s="773"/>
      <c r="K155" s="773"/>
      <c r="L155" s="773"/>
      <c r="M155" s="773"/>
      <c r="N155" s="773"/>
    </row>
    <row r="156" spans="1:14" x14ac:dyDescent="0.3">
      <c r="A156" s="773"/>
      <c r="B156" s="773"/>
      <c r="C156" s="773"/>
      <c r="D156" s="773"/>
      <c r="E156" s="773"/>
      <c r="F156" s="773"/>
      <c r="G156" s="773"/>
      <c r="H156" s="773"/>
      <c r="I156" s="773"/>
      <c r="J156" s="773"/>
      <c r="K156" s="773"/>
      <c r="L156" s="773"/>
      <c r="M156" s="773"/>
      <c r="N156" s="773"/>
    </row>
    <row r="157" spans="1:14" x14ac:dyDescent="0.3">
      <c r="A157" s="773"/>
      <c r="B157" s="773"/>
      <c r="C157" s="773"/>
      <c r="D157" s="773"/>
      <c r="E157" s="773"/>
      <c r="F157" s="773"/>
      <c r="G157" s="773"/>
      <c r="H157" s="773"/>
      <c r="I157" s="773"/>
      <c r="J157" s="773"/>
      <c r="K157" s="773"/>
      <c r="L157" s="773"/>
      <c r="M157" s="773"/>
      <c r="N157" s="773"/>
    </row>
    <row r="158" spans="1:14" x14ac:dyDescent="0.3">
      <c r="A158" s="773"/>
      <c r="B158" s="773"/>
      <c r="C158" s="773"/>
      <c r="D158" s="773"/>
      <c r="E158" s="773"/>
      <c r="F158" s="773"/>
      <c r="G158" s="773"/>
      <c r="H158" s="773"/>
      <c r="I158" s="773"/>
      <c r="J158" s="773"/>
      <c r="K158" s="773"/>
      <c r="L158" s="773"/>
      <c r="M158" s="773"/>
      <c r="N158" s="773"/>
    </row>
    <row r="159" spans="1:14" x14ac:dyDescent="0.3">
      <c r="A159" s="773"/>
      <c r="B159" s="773"/>
      <c r="C159" s="773"/>
      <c r="D159" s="773"/>
      <c r="E159" s="773"/>
      <c r="F159" s="773"/>
      <c r="G159" s="773"/>
      <c r="H159" s="773"/>
      <c r="I159" s="773"/>
      <c r="J159" s="773"/>
      <c r="K159" s="773"/>
      <c r="L159" s="773"/>
      <c r="M159" s="773"/>
      <c r="N159" s="773"/>
    </row>
    <row r="160" spans="1:14" x14ac:dyDescent="0.3">
      <c r="A160" s="773"/>
      <c r="B160" s="773"/>
      <c r="C160" s="773"/>
      <c r="D160" s="773"/>
      <c r="E160" s="773"/>
      <c r="F160" s="773"/>
      <c r="G160" s="773"/>
      <c r="H160" s="773"/>
      <c r="I160" s="773"/>
      <c r="J160" s="773"/>
      <c r="K160" s="773"/>
      <c r="L160" s="773"/>
      <c r="M160" s="773"/>
      <c r="N160" s="773"/>
    </row>
    <row r="161" spans="1:14" x14ac:dyDescent="0.3">
      <c r="A161" s="773"/>
      <c r="B161" s="773"/>
      <c r="C161" s="773"/>
      <c r="D161" s="773"/>
      <c r="E161" s="773"/>
      <c r="F161" s="773"/>
      <c r="G161" s="773"/>
      <c r="H161" s="773"/>
      <c r="I161" s="773"/>
      <c r="J161" s="773"/>
      <c r="K161" s="773"/>
      <c r="L161" s="773"/>
      <c r="M161" s="773"/>
      <c r="N161" s="773"/>
    </row>
    <row r="162" spans="1:14" x14ac:dyDescent="0.3">
      <c r="A162" s="773"/>
      <c r="B162" s="773"/>
      <c r="C162" s="773"/>
      <c r="D162" s="773"/>
      <c r="E162" s="773"/>
      <c r="F162" s="773"/>
      <c r="G162" s="773"/>
      <c r="H162" s="773"/>
      <c r="I162" s="773"/>
      <c r="J162" s="773"/>
      <c r="K162" s="773"/>
      <c r="L162" s="773"/>
      <c r="M162" s="773"/>
      <c r="N162" s="773"/>
    </row>
    <row r="163" spans="1:14" x14ac:dyDescent="0.3">
      <c r="A163" s="773"/>
      <c r="B163" s="773"/>
      <c r="C163" s="773"/>
      <c r="D163" s="773"/>
      <c r="E163" s="773"/>
      <c r="F163" s="773"/>
      <c r="G163" s="773"/>
      <c r="H163" s="773"/>
      <c r="I163" s="773"/>
      <c r="J163" s="773"/>
      <c r="K163" s="773"/>
      <c r="L163" s="773"/>
      <c r="M163" s="773"/>
      <c r="N163" s="773"/>
    </row>
    <row r="164" spans="1:14" x14ac:dyDescent="0.3">
      <c r="A164" s="773"/>
      <c r="B164" s="773"/>
      <c r="C164" s="773"/>
      <c r="D164" s="773"/>
      <c r="E164" s="773"/>
      <c r="F164" s="773"/>
      <c r="G164" s="773"/>
      <c r="H164" s="773"/>
      <c r="I164" s="773"/>
      <c r="J164" s="773"/>
      <c r="K164" s="773"/>
      <c r="L164" s="773"/>
      <c r="M164" s="773"/>
      <c r="N164" s="773"/>
    </row>
    <row r="165" spans="1:14" x14ac:dyDescent="0.3">
      <c r="A165" s="773"/>
      <c r="B165" s="773"/>
      <c r="C165" s="773"/>
      <c r="D165" s="773"/>
      <c r="E165" s="773"/>
      <c r="F165" s="773"/>
      <c r="G165" s="773"/>
      <c r="H165" s="773"/>
      <c r="I165" s="773"/>
      <c r="J165" s="773"/>
      <c r="K165" s="773"/>
      <c r="L165" s="773"/>
      <c r="M165" s="773"/>
      <c r="N165" s="773"/>
    </row>
    <row r="166" spans="1:14" x14ac:dyDescent="0.3">
      <c r="A166" s="773"/>
      <c r="B166" s="773"/>
      <c r="C166" s="773"/>
      <c r="D166" s="773"/>
      <c r="E166" s="773"/>
      <c r="F166" s="773"/>
      <c r="G166" s="773"/>
      <c r="H166" s="773"/>
      <c r="I166" s="773"/>
      <c r="J166" s="773"/>
      <c r="K166" s="773"/>
      <c r="L166" s="773"/>
      <c r="M166" s="773"/>
      <c r="N166" s="773"/>
    </row>
    <row r="167" spans="1:14" x14ac:dyDescent="0.3">
      <c r="A167" s="773"/>
      <c r="B167" s="773"/>
      <c r="C167" s="773"/>
      <c r="D167" s="773"/>
      <c r="E167" s="773"/>
      <c r="F167" s="773"/>
      <c r="G167" s="773"/>
      <c r="H167" s="773"/>
      <c r="I167" s="773"/>
      <c r="J167" s="773"/>
      <c r="K167" s="773"/>
      <c r="L167" s="773"/>
      <c r="M167" s="773"/>
      <c r="N167" s="773"/>
    </row>
    <row r="168" spans="1:14" x14ac:dyDescent="0.3">
      <c r="A168" s="773"/>
      <c r="B168" s="773"/>
      <c r="C168" s="773"/>
      <c r="D168" s="773"/>
      <c r="E168" s="773"/>
      <c r="F168" s="773"/>
      <c r="G168" s="773"/>
      <c r="H168" s="773"/>
      <c r="I168" s="773"/>
      <c r="J168" s="773"/>
      <c r="K168" s="773"/>
      <c r="L168" s="773"/>
      <c r="M168" s="773"/>
      <c r="N168" s="773"/>
    </row>
    <row r="169" spans="1:14" x14ac:dyDescent="0.3">
      <c r="A169" s="773"/>
      <c r="B169" s="773"/>
      <c r="C169" s="773"/>
      <c r="D169" s="773"/>
      <c r="E169" s="773"/>
      <c r="F169" s="773"/>
      <c r="G169" s="773"/>
      <c r="H169" s="773"/>
      <c r="I169" s="773"/>
      <c r="J169" s="773"/>
      <c r="K169" s="773"/>
      <c r="L169" s="773"/>
      <c r="M169" s="773"/>
      <c r="N169" s="773"/>
    </row>
    <row r="170" spans="1:14" x14ac:dyDescent="0.3">
      <c r="A170" s="773"/>
      <c r="B170" s="773"/>
      <c r="C170" s="773"/>
      <c r="D170" s="773"/>
      <c r="E170" s="773"/>
      <c r="F170" s="773"/>
      <c r="G170" s="773"/>
      <c r="H170" s="773"/>
      <c r="I170" s="773"/>
      <c r="J170" s="773"/>
      <c r="K170" s="773"/>
      <c r="L170" s="773"/>
      <c r="M170" s="773"/>
      <c r="N170" s="773"/>
    </row>
    <row r="171" spans="1:14" x14ac:dyDescent="0.3">
      <c r="A171" s="773"/>
      <c r="B171" s="773"/>
      <c r="C171" s="773"/>
      <c r="D171" s="773"/>
      <c r="E171" s="773"/>
      <c r="F171" s="773"/>
      <c r="G171" s="773"/>
      <c r="H171" s="773"/>
      <c r="I171" s="773"/>
      <c r="J171" s="773"/>
      <c r="K171" s="773"/>
      <c r="L171" s="773"/>
      <c r="M171" s="773"/>
      <c r="N171" s="773"/>
    </row>
    <row r="172" spans="1:14" x14ac:dyDescent="0.3">
      <c r="A172" s="773"/>
      <c r="B172" s="773"/>
      <c r="C172" s="773"/>
      <c r="D172" s="773"/>
      <c r="E172" s="773"/>
      <c r="F172" s="773"/>
      <c r="G172" s="773"/>
      <c r="H172" s="773"/>
      <c r="I172" s="773"/>
      <c r="J172" s="773"/>
      <c r="K172" s="773"/>
      <c r="L172" s="773"/>
      <c r="M172" s="773"/>
      <c r="N172" s="773"/>
    </row>
    <row r="173" spans="1:14" x14ac:dyDescent="0.3">
      <c r="A173" s="773"/>
      <c r="B173" s="773"/>
      <c r="C173" s="773"/>
      <c r="D173" s="773"/>
      <c r="E173" s="773"/>
      <c r="F173" s="773"/>
      <c r="G173" s="773"/>
      <c r="H173" s="773"/>
      <c r="I173" s="773"/>
      <c r="J173" s="773"/>
      <c r="K173" s="773"/>
      <c r="L173" s="773"/>
      <c r="M173" s="773"/>
      <c r="N173" s="773"/>
    </row>
    <row r="174" spans="1:14" x14ac:dyDescent="0.3">
      <c r="A174" s="773"/>
      <c r="B174" s="773"/>
      <c r="C174" s="773"/>
      <c r="D174" s="773"/>
      <c r="E174" s="773"/>
      <c r="F174" s="773"/>
      <c r="G174" s="773"/>
      <c r="H174" s="773"/>
      <c r="I174" s="773"/>
      <c r="J174" s="773"/>
      <c r="K174" s="773"/>
      <c r="L174" s="773"/>
      <c r="M174" s="773"/>
      <c r="N174" s="773"/>
    </row>
    <row r="175" spans="1:14" x14ac:dyDescent="0.3">
      <c r="A175" s="773"/>
      <c r="B175" s="773"/>
      <c r="C175" s="773"/>
      <c r="D175" s="773"/>
      <c r="E175" s="773"/>
      <c r="F175" s="773"/>
      <c r="G175" s="773"/>
      <c r="H175" s="773"/>
      <c r="I175" s="773"/>
      <c r="J175" s="773"/>
      <c r="K175" s="773"/>
      <c r="L175" s="773"/>
      <c r="M175" s="773"/>
      <c r="N175" s="773"/>
    </row>
    <row r="176" spans="1:14" x14ac:dyDescent="0.3">
      <c r="A176" s="773"/>
      <c r="B176" s="773"/>
      <c r="C176" s="773"/>
      <c r="D176" s="773"/>
      <c r="E176" s="773"/>
      <c r="F176" s="773"/>
      <c r="G176" s="773"/>
      <c r="H176" s="773"/>
      <c r="I176" s="773"/>
      <c r="J176" s="773"/>
      <c r="K176" s="773"/>
      <c r="L176" s="773"/>
      <c r="M176" s="773"/>
      <c r="N176" s="773"/>
    </row>
    <row r="177" spans="1:14" x14ac:dyDescent="0.3">
      <c r="A177" s="773"/>
      <c r="B177" s="773"/>
      <c r="C177" s="773"/>
      <c r="D177" s="773"/>
      <c r="E177" s="773"/>
      <c r="F177" s="773"/>
      <c r="G177" s="773"/>
      <c r="H177" s="773"/>
      <c r="I177" s="773"/>
      <c r="J177" s="773"/>
      <c r="K177" s="773"/>
      <c r="L177" s="773"/>
      <c r="M177" s="773"/>
      <c r="N177" s="773"/>
    </row>
    <row r="178" spans="1:14" x14ac:dyDescent="0.3">
      <c r="A178" s="773"/>
      <c r="B178" s="773"/>
      <c r="C178" s="773"/>
      <c r="D178" s="773"/>
      <c r="E178" s="773"/>
      <c r="F178" s="773"/>
      <c r="G178" s="773"/>
      <c r="H178" s="773"/>
      <c r="I178" s="773"/>
      <c r="J178" s="773"/>
      <c r="K178" s="773"/>
      <c r="L178" s="773"/>
      <c r="M178" s="773"/>
      <c r="N178" s="773"/>
    </row>
    <row r="179" spans="1:14" x14ac:dyDescent="0.3">
      <c r="A179" s="773"/>
      <c r="B179" s="773"/>
      <c r="C179" s="773"/>
      <c r="D179" s="773"/>
      <c r="E179" s="773"/>
      <c r="F179" s="773"/>
      <c r="G179" s="773"/>
      <c r="H179" s="773"/>
      <c r="I179" s="773"/>
      <c r="J179" s="773"/>
      <c r="K179" s="773"/>
      <c r="L179" s="773"/>
      <c r="M179" s="773"/>
      <c r="N179" s="773"/>
    </row>
    <row r="180" spans="1:14" x14ac:dyDescent="0.3">
      <c r="A180" s="773"/>
      <c r="B180" s="773"/>
      <c r="C180" s="773"/>
      <c r="D180" s="773"/>
      <c r="E180" s="773"/>
      <c r="F180" s="773"/>
      <c r="G180" s="773"/>
      <c r="H180" s="773"/>
      <c r="I180" s="773"/>
      <c r="J180" s="773"/>
      <c r="K180" s="773"/>
      <c r="L180" s="773"/>
      <c r="M180" s="773"/>
      <c r="N180" s="773"/>
    </row>
    <row r="181" spans="1:14" x14ac:dyDescent="0.3">
      <c r="A181" s="773"/>
      <c r="B181" s="773"/>
      <c r="C181" s="773"/>
      <c r="D181" s="773"/>
      <c r="E181" s="773"/>
      <c r="F181" s="773"/>
      <c r="G181" s="773"/>
      <c r="H181" s="773"/>
      <c r="I181" s="773"/>
      <c r="J181" s="773"/>
      <c r="K181" s="773"/>
      <c r="L181" s="773"/>
      <c r="M181" s="773"/>
      <c r="N181" s="773"/>
    </row>
    <row r="182" spans="1:14" x14ac:dyDescent="0.3">
      <c r="A182" s="773"/>
      <c r="B182" s="773"/>
      <c r="C182" s="773"/>
      <c r="D182" s="773"/>
      <c r="E182" s="773"/>
      <c r="F182" s="773"/>
      <c r="G182" s="773"/>
      <c r="H182" s="773"/>
      <c r="I182" s="773"/>
      <c r="J182" s="773"/>
      <c r="K182" s="773"/>
      <c r="L182" s="773"/>
      <c r="M182" s="773"/>
      <c r="N182" s="773"/>
    </row>
    <row r="183" spans="1:14" x14ac:dyDescent="0.3">
      <c r="A183" s="773"/>
      <c r="B183" s="773"/>
      <c r="C183" s="773"/>
      <c r="D183" s="773"/>
      <c r="E183" s="773"/>
      <c r="F183" s="773"/>
      <c r="G183" s="773"/>
      <c r="H183" s="773"/>
      <c r="I183" s="773"/>
      <c r="J183" s="773"/>
      <c r="K183" s="773"/>
      <c r="L183" s="773"/>
      <c r="M183" s="773"/>
      <c r="N183" s="773"/>
    </row>
    <row r="184" spans="1:14" x14ac:dyDescent="0.3">
      <c r="A184" s="773"/>
      <c r="B184" s="773"/>
      <c r="C184" s="773"/>
      <c r="D184" s="773"/>
      <c r="E184" s="773"/>
      <c r="F184" s="773"/>
      <c r="G184" s="773"/>
      <c r="H184" s="773"/>
      <c r="I184" s="773"/>
      <c r="J184" s="773"/>
      <c r="K184" s="773"/>
      <c r="L184" s="773"/>
      <c r="M184" s="773"/>
      <c r="N184" s="773"/>
    </row>
    <row r="185" spans="1:14" x14ac:dyDescent="0.3">
      <c r="A185" s="773"/>
      <c r="B185" s="773"/>
      <c r="C185" s="773"/>
      <c r="D185" s="773"/>
      <c r="E185" s="773"/>
      <c r="F185" s="773"/>
      <c r="G185" s="773"/>
      <c r="H185" s="773"/>
      <c r="I185" s="773"/>
      <c r="J185" s="773"/>
      <c r="K185" s="773"/>
      <c r="L185" s="773"/>
      <c r="M185" s="773"/>
      <c r="N185" s="773"/>
    </row>
    <row r="186" spans="1:14" x14ac:dyDescent="0.3">
      <c r="A186" s="773"/>
      <c r="B186" s="773"/>
      <c r="C186" s="773"/>
      <c r="D186" s="773"/>
      <c r="E186" s="773"/>
      <c r="F186" s="773"/>
      <c r="G186" s="773"/>
      <c r="H186" s="773"/>
      <c r="I186" s="773"/>
      <c r="J186" s="773"/>
      <c r="K186" s="773"/>
      <c r="L186" s="773"/>
      <c r="M186" s="773"/>
      <c r="N186" s="773"/>
    </row>
    <row r="187" spans="1:14" x14ac:dyDescent="0.3">
      <c r="A187" s="773"/>
      <c r="B187" s="773"/>
      <c r="C187" s="773"/>
      <c r="D187" s="773"/>
      <c r="E187" s="773"/>
      <c r="F187" s="773"/>
      <c r="G187" s="773"/>
      <c r="H187" s="773"/>
      <c r="I187" s="773"/>
      <c r="J187" s="773"/>
      <c r="K187" s="773"/>
      <c r="L187" s="773"/>
      <c r="M187" s="773"/>
      <c r="N187" s="773"/>
    </row>
    <row r="188" spans="1:14" x14ac:dyDescent="0.3">
      <c r="A188" s="773"/>
      <c r="B188" s="773"/>
      <c r="C188" s="773"/>
      <c r="D188" s="773"/>
      <c r="E188" s="773"/>
      <c r="F188" s="773"/>
      <c r="G188" s="773"/>
      <c r="H188" s="773"/>
      <c r="I188" s="773"/>
      <c r="J188" s="773"/>
      <c r="K188" s="773"/>
      <c r="L188" s="773"/>
      <c r="M188" s="773"/>
      <c r="N188" s="773"/>
    </row>
    <row r="189" spans="1:14" x14ac:dyDescent="0.3">
      <c r="A189" s="773"/>
      <c r="B189" s="773"/>
      <c r="C189" s="773"/>
      <c r="D189" s="773"/>
      <c r="E189" s="773"/>
      <c r="F189" s="773"/>
      <c r="G189" s="773"/>
      <c r="H189" s="773"/>
      <c r="I189" s="773"/>
      <c r="J189" s="773"/>
      <c r="K189" s="773"/>
      <c r="L189" s="773"/>
      <c r="M189" s="773"/>
      <c r="N189" s="773"/>
    </row>
    <row r="190" spans="1:14" x14ac:dyDescent="0.3">
      <c r="A190" s="773"/>
      <c r="B190" s="773"/>
      <c r="C190" s="773"/>
      <c r="D190" s="773"/>
      <c r="E190" s="773"/>
      <c r="F190" s="773"/>
      <c r="G190" s="773"/>
      <c r="H190" s="773"/>
      <c r="I190" s="773"/>
      <c r="J190" s="773"/>
      <c r="K190" s="773"/>
      <c r="L190" s="773"/>
      <c r="M190" s="773"/>
      <c r="N190" s="773"/>
    </row>
    <row r="191" spans="1:14" x14ac:dyDescent="0.3">
      <c r="A191" s="773"/>
      <c r="B191" s="773"/>
      <c r="C191" s="773"/>
      <c r="D191" s="773"/>
      <c r="E191" s="773"/>
      <c r="F191" s="773"/>
      <c r="G191" s="773"/>
      <c r="H191" s="773"/>
      <c r="I191" s="773"/>
      <c r="J191" s="773"/>
      <c r="K191" s="773"/>
      <c r="L191" s="773"/>
      <c r="M191" s="773"/>
      <c r="N191" s="773"/>
    </row>
    <row r="192" spans="1:14" x14ac:dyDescent="0.3">
      <c r="A192" s="773"/>
      <c r="B192" s="773"/>
      <c r="C192" s="773"/>
      <c r="D192" s="773"/>
      <c r="E192" s="773"/>
      <c r="F192" s="773"/>
      <c r="G192" s="773"/>
      <c r="H192" s="773"/>
      <c r="I192" s="773"/>
      <c r="J192" s="773"/>
      <c r="K192" s="773"/>
      <c r="L192" s="773"/>
      <c r="M192" s="773"/>
      <c r="N192" s="773"/>
    </row>
    <row r="193" spans="1:14" x14ac:dyDescent="0.3">
      <c r="A193" s="773"/>
      <c r="B193" s="773"/>
      <c r="C193" s="773"/>
      <c r="D193" s="773"/>
      <c r="E193" s="773"/>
      <c r="F193" s="773"/>
      <c r="G193" s="773"/>
      <c r="H193" s="773"/>
      <c r="I193" s="773"/>
      <c r="J193" s="773"/>
      <c r="K193" s="773"/>
      <c r="L193" s="773"/>
      <c r="M193" s="773"/>
      <c r="N193" s="773"/>
    </row>
    <row r="194" spans="1:14" x14ac:dyDescent="0.3">
      <c r="A194" s="773"/>
      <c r="B194" s="773"/>
      <c r="C194" s="773"/>
      <c r="D194" s="773"/>
      <c r="E194" s="773"/>
      <c r="F194" s="773"/>
      <c r="G194" s="773"/>
      <c r="H194" s="773"/>
      <c r="I194" s="773"/>
      <c r="J194" s="773"/>
      <c r="K194" s="773"/>
      <c r="L194" s="773"/>
      <c r="M194" s="773"/>
      <c r="N194" s="773"/>
    </row>
    <row r="195" spans="1:14" x14ac:dyDescent="0.3">
      <c r="A195" s="773"/>
      <c r="B195" s="773"/>
      <c r="C195" s="773"/>
      <c r="D195" s="773"/>
      <c r="E195" s="773"/>
      <c r="F195" s="773"/>
      <c r="G195" s="773"/>
      <c r="H195" s="773"/>
      <c r="I195" s="773"/>
      <c r="J195" s="773"/>
      <c r="K195" s="773"/>
      <c r="L195" s="773"/>
      <c r="M195" s="773"/>
      <c r="N195" s="773"/>
    </row>
    <row r="196" spans="1:14" x14ac:dyDescent="0.3">
      <c r="A196" s="773"/>
      <c r="B196" s="773"/>
      <c r="C196" s="773"/>
      <c r="D196" s="773"/>
      <c r="E196" s="773"/>
      <c r="F196" s="773"/>
      <c r="G196" s="773"/>
      <c r="H196" s="773"/>
      <c r="I196" s="773"/>
      <c r="J196" s="773"/>
      <c r="K196" s="773"/>
      <c r="L196" s="773"/>
      <c r="M196" s="773"/>
      <c r="N196" s="773"/>
    </row>
    <row r="197" spans="1:14" x14ac:dyDescent="0.3">
      <c r="A197" s="773"/>
      <c r="B197" s="773"/>
      <c r="C197" s="773"/>
      <c r="D197" s="773"/>
      <c r="E197" s="773"/>
      <c r="F197" s="773"/>
      <c r="G197" s="773"/>
      <c r="H197" s="773"/>
      <c r="I197" s="773"/>
      <c r="J197" s="773"/>
      <c r="K197" s="773"/>
      <c r="L197" s="773"/>
      <c r="M197" s="773"/>
      <c r="N197" s="773"/>
    </row>
    <row r="198" spans="1:14" x14ac:dyDescent="0.3">
      <c r="A198" s="773"/>
      <c r="B198" s="773"/>
      <c r="C198" s="773"/>
      <c r="D198" s="773"/>
      <c r="E198" s="773"/>
      <c r="F198" s="773"/>
      <c r="G198" s="773"/>
      <c r="H198" s="773"/>
      <c r="I198" s="773"/>
      <c r="J198" s="773"/>
      <c r="K198" s="773"/>
      <c r="L198" s="773"/>
      <c r="M198" s="773"/>
      <c r="N198" s="773"/>
    </row>
    <row r="199" spans="1:14" x14ac:dyDescent="0.3">
      <c r="A199" s="773"/>
      <c r="B199" s="773"/>
      <c r="C199" s="773"/>
      <c r="D199" s="773"/>
      <c r="E199" s="773"/>
      <c r="F199" s="773"/>
      <c r="G199" s="773"/>
      <c r="H199" s="773"/>
      <c r="I199" s="773"/>
      <c r="J199" s="773"/>
      <c r="K199" s="773"/>
      <c r="L199" s="773"/>
      <c r="M199" s="773"/>
      <c r="N199" s="773"/>
    </row>
    <row r="200" spans="1:14" x14ac:dyDescent="0.3">
      <c r="A200" s="773"/>
      <c r="B200" s="773"/>
      <c r="C200" s="773"/>
      <c r="D200" s="773"/>
      <c r="E200" s="773"/>
      <c r="F200" s="773"/>
      <c r="G200" s="773"/>
      <c r="H200" s="773"/>
      <c r="I200" s="773"/>
      <c r="J200" s="773"/>
      <c r="K200" s="773"/>
      <c r="L200" s="773"/>
      <c r="M200" s="773"/>
      <c r="N200" s="773"/>
    </row>
    <row r="201" spans="1:14" x14ac:dyDescent="0.3">
      <c r="A201" s="773"/>
      <c r="B201" s="773"/>
      <c r="C201" s="773"/>
      <c r="D201" s="773"/>
      <c r="E201" s="773"/>
      <c r="F201" s="773"/>
      <c r="G201" s="773"/>
      <c r="H201" s="773"/>
      <c r="I201" s="773"/>
      <c r="J201" s="773"/>
      <c r="K201" s="773"/>
      <c r="L201" s="773"/>
      <c r="M201" s="773"/>
      <c r="N201" s="773"/>
    </row>
    <row r="202" spans="1:14" x14ac:dyDescent="0.3">
      <c r="A202" s="773"/>
      <c r="B202" s="773"/>
      <c r="C202" s="773"/>
      <c r="D202" s="773"/>
      <c r="E202" s="773"/>
      <c r="F202" s="773"/>
      <c r="G202" s="773"/>
      <c r="H202" s="773"/>
      <c r="I202" s="773"/>
      <c r="J202" s="773"/>
      <c r="K202" s="773"/>
      <c r="L202" s="773"/>
      <c r="M202" s="773"/>
      <c r="N202" s="773"/>
    </row>
    <row r="203" spans="1:14" x14ac:dyDescent="0.3">
      <c r="A203" s="773"/>
      <c r="B203" s="773"/>
      <c r="C203" s="773"/>
      <c r="D203" s="773"/>
      <c r="E203" s="773"/>
      <c r="F203" s="773"/>
      <c r="G203" s="773"/>
      <c r="H203" s="773"/>
      <c r="I203" s="773"/>
      <c r="J203" s="773"/>
      <c r="K203" s="773"/>
      <c r="L203" s="773"/>
      <c r="M203" s="773"/>
      <c r="N203" s="773"/>
    </row>
    <row r="204" spans="1:14" x14ac:dyDescent="0.3">
      <c r="A204" s="773"/>
      <c r="B204" s="773"/>
      <c r="C204" s="773"/>
      <c r="D204" s="773"/>
      <c r="E204" s="773"/>
      <c r="F204" s="773"/>
      <c r="G204" s="773"/>
      <c r="H204" s="773"/>
      <c r="I204" s="773"/>
      <c r="J204" s="773"/>
      <c r="K204" s="773"/>
      <c r="L204" s="773"/>
      <c r="M204" s="773"/>
      <c r="N204" s="773"/>
    </row>
    <row r="205" spans="1:14" x14ac:dyDescent="0.3">
      <c r="A205" s="773"/>
      <c r="B205" s="773"/>
      <c r="C205" s="773"/>
      <c r="D205" s="773"/>
      <c r="E205" s="773"/>
      <c r="F205" s="773"/>
      <c r="G205" s="773"/>
      <c r="H205" s="773"/>
      <c r="I205" s="773"/>
      <c r="J205" s="773"/>
      <c r="K205" s="773"/>
      <c r="L205" s="773"/>
      <c r="M205" s="773"/>
      <c r="N205" s="773"/>
    </row>
    <row r="206" spans="1:14" x14ac:dyDescent="0.3">
      <c r="A206" s="773"/>
      <c r="B206" s="773"/>
      <c r="C206" s="773"/>
      <c r="D206" s="773"/>
      <c r="E206" s="773"/>
      <c r="F206" s="773"/>
      <c r="G206" s="773"/>
      <c r="H206" s="773"/>
      <c r="I206" s="773"/>
      <c r="J206" s="773"/>
      <c r="K206" s="773"/>
      <c r="L206" s="773"/>
      <c r="M206" s="773"/>
      <c r="N206" s="773"/>
    </row>
    <row r="207" spans="1:14" x14ac:dyDescent="0.3">
      <c r="A207" s="773"/>
      <c r="B207" s="773"/>
      <c r="C207" s="773"/>
      <c r="D207" s="773"/>
      <c r="E207" s="773"/>
      <c r="F207" s="773"/>
      <c r="G207" s="773"/>
      <c r="H207" s="773"/>
      <c r="I207" s="773"/>
      <c r="J207" s="773"/>
      <c r="K207" s="773"/>
      <c r="L207" s="773"/>
      <c r="M207" s="773"/>
      <c r="N207" s="773"/>
    </row>
    <row r="208" spans="1:14" x14ac:dyDescent="0.3">
      <c r="A208" s="773"/>
      <c r="B208" s="773"/>
      <c r="C208" s="773"/>
      <c r="D208" s="773"/>
      <c r="E208" s="773"/>
      <c r="F208" s="773"/>
      <c r="G208" s="773"/>
      <c r="H208" s="773"/>
      <c r="I208" s="773"/>
      <c r="J208" s="773"/>
      <c r="K208" s="773"/>
      <c r="L208" s="773"/>
      <c r="M208" s="773"/>
      <c r="N208" s="773"/>
    </row>
    <row r="209" spans="1:14" x14ac:dyDescent="0.3">
      <c r="A209" s="773"/>
      <c r="B209" s="773"/>
      <c r="C209" s="773"/>
      <c r="D209" s="773"/>
      <c r="E209" s="773"/>
      <c r="F209" s="773"/>
      <c r="G209" s="773"/>
      <c r="H209" s="773"/>
      <c r="I209" s="773"/>
      <c r="J209" s="774"/>
      <c r="K209" s="774"/>
      <c r="L209" s="774"/>
      <c r="M209" s="774"/>
      <c r="N209" s="774"/>
    </row>
    <row r="210" spans="1:14" x14ac:dyDescent="0.3">
      <c r="A210" s="773"/>
      <c r="B210" s="773"/>
      <c r="C210" s="773"/>
      <c r="D210" s="773"/>
      <c r="E210" s="773"/>
      <c r="F210" s="773"/>
      <c r="G210" s="773"/>
      <c r="H210" s="773"/>
      <c r="I210" s="773"/>
    </row>
    <row r="211" spans="1:14" x14ac:dyDescent="0.3">
      <c r="A211" s="773"/>
      <c r="B211" s="773"/>
      <c r="C211" s="773"/>
      <c r="D211" s="773"/>
      <c r="E211" s="773"/>
      <c r="F211" s="773"/>
      <c r="G211" s="773"/>
      <c r="H211" s="773"/>
      <c r="I211" s="773"/>
    </row>
    <row r="212" spans="1:14" x14ac:dyDescent="0.3">
      <c r="A212" s="773"/>
      <c r="B212" s="773"/>
      <c r="C212" s="773"/>
      <c r="D212" s="773"/>
      <c r="E212" s="773"/>
      <c r="F212" s="773"/>
      <c r="G212" s="773"/>
      <c r="H212" s="773"/>
      <c r="I212" s="773"/>
    </row>
    <row r="213" spans="1:14" x14ac:dyDescent="0.3">
      <c r="A213" s="773"/>
      <c r="B213" s="773"/>
      <c r="C213" s="773"/>
      <c r="D213" s="773"/>
      <c r="E213" s="773"/>
      <c r="F213" s="773"/>
      <c r="G213" s="773"/>
      <c r="H213" s="773"/>
      <c r="I213" s="773"/>
    </row>
    <row r="214" spans="1:14" x14ac:dyDescent="0.3">
      <c r="A214" s="773"/>
      <c r="B214" s="773"/>
      <c r="C214" s="773"/>
      <c r="D214" s="773"/>
      <c r="E214" s="773"/>
      <c r="F214" s="773"/>
      <c r="G214" s="773"/>
      <c r="H214" s="773"/>
      <c r="I214" s="773"/>
    </row>
    <row r="215" spans="1:14" x14ac:dyDescent="0.3">
      <c r="A215" s="773"/>
      <c r="B215" s="773"/>
      <c r="C215" s="773"/>
      <c r="D215" s="773"/>
      <c r="E215" s="773"/>
      <c r="F215" s="773"/>
      <c r="G215" s="773"/>
      <c r="H215" s="773"/>
      <c r="I215" s="773"/>
    </row>
    <row r="216" spans="1:14" x14ac:dyDescent="0.3">
      <c r="A216" s="773"/>
      <c r="B216" s="773"/>
      <c r="C216" s="773"/>
      <c r="D216" s="773"/>
      <c r="E216" s="773"/>
      <c r="F216" s="773"/>
      <c r="G216" s="773"/>
      <c r="H216" s="773"/>
      <c r="I216" s="773"/>
    </row>
    <row r="217" spans="1:14" x14ac:dyDescent="0.3">
      <c r="A217" s="773"/>
      <c r="B217" s="773"/>
      <c r="C217" s="773"/>
      <c r="D217" s="773"/>
      <c r="E217" s="773"/>
      <c r="F217" s="773"/>
      <c r="G217" s="773"/>
      <c r="H217" s="773"/>
      <c r="I217" s="773"/>
    </row>
    <row r="218" spans="1:14" x14ac:dyDescent="0.3">
      <c r="A218" s="773"/>
      <c r="B218" s="773"/>
      <c r="C218" s="773"/>
      <c r="D218" s="773"/>
      <c r="E218" s="773"/>
      <c r="F218" s="773"/>
      <c r="G218" s="773"/>
      <c r="H218" s="773"/>
      <c r="I218" s="773"/>
    </row>
    <row r="219" spans="1:14" x14ac:dyDescent="0.3">
      <c r="A219" s="773"/>
      <c r="B219" s="773"/>
      <c r="C219" s="773"/>
      <c r="D219" s="773"/>
      <c r="E219" s="773"/>
      <c r="F219" s="773"/>
      <c r="G219" s="773"/>
      <c r="H219" s="773"/>
      <c r="I219" s="773"/>
    </row>
    <row r="220" spans="1:14" x14ac:dyDescent="0.3">
      <c r="A220" s="773"/>
      <c r="B220" s="773"/>
      <c r="C220" s="773"/>
      <c r="D220" s="773"/>
      <c r="E220" s="773"/>
      <c r="F220" s="773"/>
      <c r="G220" s="773"/>
      <c r="H220" s="773"/>
      <c r="I220" s="773"/>
    </row>
    <row r="221" spans="1:14" x14ac:dyDescent="0.3">
      <c r="A221" s="773"/>
      <c r="B221" s="773"/>
      <c r="C221" s="773"/>
      <c r="D221" s="773"/>
      <c r="E221" s="773"/>
      <c r="F221" s="773"/>
      <c r="G221" s="773"/>
      <c r="H221" s="773"/>
      <c r="I221" s="773"/>
    </row>
    <row r="222" spans="1:14" x14ac:dyDescent="0.3">
      <c r="A222" s="773"/>
      <c r="B222" s="773"/>
      <c r="C222" s="773"/>
      <c r="D222" s="773"/>
      <c r="E222" s="773"/>
      <c r="F222" s="773"/>
      <c r="G222" s="773"/>
      <c r="H222" s="773"/>
      <c r="I222" s="773"/>
    </row>
    <row r="223" spans="1:14" x14ac:dyDescent="0.3">
      <c r="A223" s="773"/>
      <c r="B223" s="773"/>
      <c r="C223" s="773"/>
      <c r="D223" s="773"/>
      <c r="E223" s="773"/>
      <c r="F223" s="773"/>
      <c r="G223" s="773"/>
      <c r="H223" s="773"/>
      <c r="I223" s="773"/>
    </row>
    <row r="224" spans="1:14" x14ac:dyDescent="0.3">
      <c r="A224" s="773"/>
      <c r="B224" s="773"/>
      <c r="C224" s="773"/>
      <c r="D224" s="773"/>
      <c r="E224" s="773"/>
      <c r="F224" s="773"/>
      <c r="G224" s="773"/>
      <c r="H224" s="773"/>
      <c r="I224" s="773"/>
    </row>
    <row r="225" spans="1:9" x14ac:dyDescent="0.3">
      <c r="A225" s="773"/>
      <c r="B225" s="773"/>
      <c r="C225" s="773"/>
      <c r="D225" s="773"/>
      <c r="E225" s="773"/>
      <c r="F225" s="773"/>
      <c r="G225" s="773"/>
      <c r="H225" s="773"/>
      <c r="I225" s="773"/>
    </row>
    <row r="226" spans="1:9" x14ac:dyDescent="0.3">
      <c r="A226" s="773"/>
      <c r="B226" s="773"/>
      <c r="C226" s="773"/>
      <c r="D226" s="773"/>
      <c r="E226" s="773"/>
      <c r="F226" s="773"/>
      <c r="G226" s="773"/>
      <c r="H226" s="773"/>
      <c r="I226" s="773"/>
    </row>
    <row r="227" spans="1:9" x14ac:dyDescent="0.3">
      <c r="A227" s="773"/>
      <c r="B227" s="773"/>
      <c r="C227" s="773"/>
      <c r="D227" s="773"/>
      <c r="E227" s="773"/>
      <c r="F227" s="773"/>
      <c r="G227" s="773"/>
      <c r="H227" s="773"/>
      <c r="I227" s="773"/>
    </row>
    <row r="228" spans="1:9" x14ac:dyDescent="0.3">
      <c r="A228" s="773"/>
      <c r="B228" s="773"/>
      <c r="C228" s="773"/>
      <c r="D228" s="773"/>
      <c r="E228" s="773"/>
      <c r="F228" s="773"/>
      <c r="G228" s="773"/>
      <c r="H228" s="773"/>
      <c r="I228" s="773"/>
    </row>
    <row r="229" spans="1:9" x14ac:dyDescent="0.3">
      <c r="A229" s="773"/>
      <c r="B229" s="773"/>
      <c r="C229" s="773"/>
      <c r="D229" s="773"/>
      <c r="E229" s="773"/>
      <c r="F229" s="773"/>
      <c r="G229" s="773"/>
      <c r="H229" s="773"/>
      <c r="I229" s="773"/>
    </row>
    <row r="230" spans="1:9" x14ac:dyDescent="0.3">
      <c r="A230" s="773"/>
      <c r="B230" s="773"/>
      <c r="C230" s="773"/>
      <c r="D230" s="773"/>
      <c r="E230" s="773"/>
      <c r="F230" s="773"/>
      <c r="G230" s="773"/>
      <c r="H230" s="773"/>
      <c r="I230" s="773"/>
    </row>
    <row r="231" spans="1:9" x14ac:dyDescent="0.3">
      <c r="A231" s="773"/>
      <c r="B231" s="773"/>
      <c r="C231" s="773"/>
      <c r="D231" s="773"/>
      <c r="E231" s="773"/>
      <c r="F231" s="773"/>
      <c r="G231" s="773"/>
      <c r="H231" s="773"/>
      <c r="I231" s="773"/>
    </row>
    <row r="232" spans="1:9" x14ac:dyDescent="0.3">
      <c r="A232" s="773"/>
      <c r="B232" s="773"/>
      <c r="C232" s="773"/>
      <c r="D232" s="773"/>
      <c r="E232" s="773"/>
      <c r="F232" s="773"/>
      <c r="G232" s="773"/>
      <c r="H232" s="773"/>
      <c r="I232" s="773"/>
    </row>
    <row r="233" spans="1:9" x14ac:dyDescent="0.3">
      <c r="A233" s="773"/>
      <c r="B233" s="773"/>
      <c r="C233" s="773"/>
      <c r="D233" s="773"/>
      <c r="E233" s="773"/>
      <c r="F233" s="773"/>
      <c r="G233" s="773"/>
      <c r="H233" s="773"/>
      <c r="I233" s="773"/>
    </row>
    <row r="234" spans="1:9" x14ac:dyDescent="0.3">
      <c r="A234" s="773"/>
      <c r="B234" s="773"/>
      <c r="C234" s="773"/>
      <c r="D234" s="773"/>
      <c r="E234" s="773"/>
      <c r="F234" s="773"/>
      <c r="G234" s="773"/>
      <c r="H234" s="773"/>
      <c r="I234" s="773"/>
    </row>
    <row r="235" spans="1:9" x14ac:dyDescent="0.3">
      <c r="A235" s="773"/>
      <c r="B235" s="773"/>
      <c r="C235" s="773"/>
      <c r="D235" s="773"/>
      <c r="E235" s="773"/>
      <c r="F235" s="773"/>
      <c r="G235" s="773"/>
      <c r="H235" s="773"/>
      <c r="I235" s="773"/>
    </row>
    <row r="236" spans="1:9" x14ac:dyDescent="0.3">
      <c r="A236" s="773"/>
      <c r="B236" s="773"/>
      <c r="C236" s="773"/>
      <c r="D236" s="773"/>
      <c r="E236" s="773"/>
      <c r="F236" s="773"/>
      <c r="G236" s="773"/>
      <c r="H236" s="773"/>
      <c r="I236" s="773"/>
    </row>
    <row r="237" spans="1:9" x14ac:dyDescent="0.3">
      <c r="A237" s="773"/>
      <c r="B237" s="773"/>
      <c r="C237" s="773"/>
      <c r="D237" s="773"/>
      <c r="E237" s="773"/>
      <c r="F237" s="773"/>
      <c r="G237" s="773"/>
      <c r="H237" s="773"/>
      <c r="I237" s="773"/>
    </row>
    <row r="238" spans="1:9" x14ac:dyDescent="0.3">
      <c r="A238" s="773"/>
      <c r="B238" s="773"/>
      <c r="C238" s="773"/>
      <c r="D238" s="773"/>
      <c r="E238" s="773"/>
      <c r="F238" s="773"/>
      <c r="G238" s="773"/>
      <c r="H238" s="773"/>
      <c r="I238" s="773"/>
    </row>
    <row r="239" spans="1:9" x14ac:dyDescent="0.3">
      <c r="A239" s="773"/>
      <c r="B239" s="773"/>
      <c r="C239" s="773"/>
      <c r="D239" s="773"/>
      <c r="E239" s="773"/>
      <c r="F239" s="773"/>
      <c r="G239" s="773"/>
      <c r="H239" s="773"/>
      <c r="I239" s="773"/>
    </row>
    <row r="240" spans="1:9" x14ac:dyDescent="0.3">
      <c r="A240" s="773"/>
      <c r="B240" s="773"/>
      <c r="C240" s="773"/>
      <c r="D240" s="773"/>
      <c r="E240" s="773"/>
      <c r="F240" s="773"/>
      <c r="G240" s="773"/>
      <c r="H240" s="773"/>
      <c r="I240" s="773"/>
    </row>
    <row r="241" spans="1:9" x14ac:dyDescent="0.3">
      <c r="A241" s="773"/>
      <c r="B241" s="773"/>
      <c r="C241" s="773"/>
      <c r="D241" s="773"/>
      <c r="E241" s="773"/>
      <c r="F241" s="773"/>
      <c r="G241" s="773"/>
      <c r="H241" s="773"/>
      <c r="I241" s="773"/>
    </row>
    <row r="242" spans="1:9" x14ac:dyDescent="0.3">
      <c r="A242" s="773"/>
      <c r="B242" s="773"/>
      <c r="C242" s="773"/>
      <c r="D242" s="773"/>
      <c r="E242" s="773"/>
      <c r="F242" s="773"/>
      <c r="G242" s="773"/>
      <c r="H242" s="773"/>
      <c r="I242" s="773"/>
    </row>
    <row r="243" spans="1:9" x14ac:dyDescent="0.3">
      <c r="A243" s="773"/>
      <c r="B243" s="773"/>
      <c r="C243" s="773"/>
      <c r="D243" s="773"/>
      <c r="E243" s="773"/>
      <c r="F243" s="773"/>
      <c r="G243" s="773"/>
      <c r="H243" s="773"/>
      <c r="I243" s="773"/>
    </row>
    <row r="244" spans="1:9" x14ac:dyDescent="0.3">
      <c r="A244" s="773"/>
      <c r="B244" s="773"/>
      <c r="C244" s="773"/>
      <c r="D244" s="773"/>
      <c r="E244" s="773"/>
      <c r="F244" s="773"/>
      <c r="G244" s="773"/>
      <c r="H244" s="773"/>
      <c r="I244" s="773"/>
    </row>
    <row r="245" spans="1:9" x14ac:dyDescent="0.3">
      <c r="A245" s="773"/>
      <c r="B245" s="773"/>
      <c r="C245" s="773"/>
      <c r="D245" s="773"/>
      <c r="E245" s="773"/>
      <c r="F245" s="773"/>
      <c r="G245" s="773"/>
      <c r="H245" s="773"/>
      <c r="I245" s="773"/>
    </row>
    <row r="246" spans="1:9" x14ac:dyDescent="0.3">
      <c r="A246" s="773"/>
      <c r="B246" s="773"/>
      <c r="C246" s="773"/>
      <c r="D246" s="773"/>
      <c r="E246" s="773"/>
      <c r="F246" s="773"/>
      <c r="G246" s="773"/>
      <c r="H246" s="773"/>
      <c r="I246" s="773"/>
    </row>
    <row r="247" spans="1:9" x14ac:dyDescent="0.3">
      <c r="A247" s="773"/>
      <c r="B247" s="773"/>
      <c r="C247" s="773"/>
      <c r="D247" s="773"/>
      <c r="E247" s="773"/>
      <c r="F247" s="773"/>
      <c r="G247" s="773"/>
      <c r="H247" s="773"/>
      <c r="I247" s="773"/>
    </row>
    <row r="248" spans="1:9" x14ac:dyDescent="0.3">
      <c r="A248" s="773"/>
      <c r="B248" s="773"/>
      <c r="C248" s="773"/>
      <c r="D248" s="773"/>
      <c r="E248" s="773"/>
      <c r="F248" s="773"/>
      <c r="G248" s="773"/>
      <c r="H248" s="773"/>
      <c r="I248" s="773"/>
    </row>
    <row r="249" spans="1:9" x14ac:dyDescent="0.3">
      <c r="A249" s="773"/>
      <c r="B249" s="773"/>
      <c r="C249" s="773"/>
      <c r="D249" s="773"/>
      <c r="E249" s="773"/>
      <c r="F249" s="773"/>
      <c r="G249" s="773"/>
      <c r="H249" s="773"/>
      <c r="I249" s="773"/>
    </row>
    <row r="250" spans="1:9" x14ac:dyDescent="0.3">
      <c r="A250" s="773"/>
      <c r="B250" s="773"/>
      <c r="C250" s="773"/>
      <c r="D250" s="773"/>
      <c r="E250" s="773"/>
      <c r="F250" s="773"/>
      <c r="G250" s="773"/>
      <c r="H250" s="773"/>
      <c r="I250" s="773"/>
    </row>
    <row r="251" spans="1:9" x14ac:dyDescent="0.3">
      <c r="A251" s="773"/>
      <c r="B251" s="773"/>
      <c r="C251" s="773"/>
      <c r="D251" s="773"/>
      <c r="E251" s="773"/>
      <c r="F251" s="773"/>
      <c r="G251" s="773"/>
      <c r="H251" s="773"/>
      <c r="I251" s="773"/>
    </row>
    <row r="252" spans="1:9" x14ac:dyDescent="0.3">
      <c r="A252" s="773"/>
      <c r="B252" s="773"/>
      <c r="C252" s="773"/>
      <c r="D252" s="773"/>
      <c r="E252" s="773"/>
      <c r="F252" s="773"/>
      <c r="G252" s="773"/>
      <c r="H252" s="773"/>
      <c r="I252" s="773"/>
    </row>
    <row r="253" spans="1:9" x14ac:dyDescent="0.3">
      <c r="A253" s="773"/>
      <c r="B253" s="773"/>
      <c r="C253" s="773"/>
      <c r="D253" s="773"/>
      <c r="E253" s="773"/>
      <c r="F253" s="773"/>
      <c r="G253" s="773"/>
      <c r="H253" s="773"/>
      <c r="I253" s="773"/>
    </row>
    <row r="254" spans="1:9" x14ac:dyDescent="0.3">
      <c r="A254" s="773"/>
      <c r="B254" s="773"/>
      <c r="C254" s="773"/>
      <c r="D254" s="773"/>
      <c r="E254" s="773"/>
      <c r="F254" s="773"/>
      <c r="G254" s="773"/>
      <c r="H254" s="773"/>
      <c r="I254" s="773"/>
    </row>
    <row r="255" spans="1:9" x14ac:dyDescent="0.3">
      <c r="A255" s="773"/>
      <c r="B255" s="773"/>
      <c r="C255" s="773"/>
      <c r="D255" s="773"/>
      <c r="E255" s="773"/>
      <c r="F255" s="773"/>
      <c r="G255" s="773"/>
      <c r="H255" s="773"/>
      <c r="I255" s="773"/>
    </row>
    <row r="256" spans="1:9" x14ac:dyDescent="0.3">
      <c r="A256" s="773"/>
      <c r="B256" s="773"/>
      <c r="C256" s="773"/>
      <c r="D256" s="773"/>
      <c r="E256" s="773"/>
      <c r="F256" s="773"/>
      <c r="G256" s="773"/>
      <c r="H256" s="773"/>
      <c r="I256" s="773"/>
    </row>
    <row r="257" spans="1:9" x14ac:dyDescent="0.3">
      <c r="A257" s="773"/>
      <c r="B257" s="773"/>
      <c r="C257" s="773"/>
      <c r="D257" s="773"/>
      <c r="E257" s="773"/>
      <c r="F257" s="773"/>
      <c r="G257" s="773"/>
      <c r="H257" s="773"/>
      <c r="I257" s="773"/>
    </row>
    <row r="258" spans="1:9" x14ac:dyDescent="0.3">
      <c r="A258" s="773"/>
      <c r="B258" s="773"/>
      <c r="C258" s="773"/>
      <c r="D258" s="773"/>
      <c r="E258" s="773"/>
      <c r="F258" s="773"/>
      <c r="G258" s="773"/>
      <c r="H258" s="773"/>
      <c r="I258" s="773"/>
    </row>
    <row r="259" spans="1:9" x14ac:dyDescent="0.3">
      <c r="A259" s="773"/>
      <c r="B259" s="773"/>
      <c r="C259" s="773"/>
      <c r="D259" s="773"/>
      <c r="E259" s="773"/>
      <c r="F259" s="773"/>
      <c r="G259" s="773"/>
      <c r="H259" s="773"/>
      <c r="I259" s="773"/>
    </row>
    <row r="260" spans="1:9" x14ac:dyDescent="0.3">
      <c r="A260" s="773"/>
      <c r="B260" s="773"/>
      <c r="C260" s="773"/>
      <c r="D260" s="773"/>
      <c r="E260" s="773"/>
      <c r="F260" s="773"/>
      <c r="G260" s="773"/>
      <c r="H260" s="773"/>
      <c r="I260" s="773"/>
    </row>
    <row r="261" spans="1:9" x14ac:dyDescent="0.3">
      <c r="A261" s="773"/>
      <c r="B261" s="773"/>
      <c r="C261" s="773"/>
      <c r="D261" s="773"/>
      <c r="E261" s="773"/>
      <c r="F261" s="773"/>
      <c r="G261" s="773"/>
      <c r="H261" s="773"/>
      <c r="I261" s="773"/>
    </row>
    <row r="262" spans="1:9" x14ac:dyDescent="0.3">
      <c r="A262" s="773"/>
      <c r="B262" s="773"/>
      <c r="C262" s="773"/>
      <c r="D262" s="773"/>
      <c r="E262" s="773"/>
      <c r="F262" s="773"/>
      <c r="G262" s="773"/>
      <c r="H262" s="773"/>
      <c r="I262" s="773"/>
    </row>
    <row r="263" spans="1:9" x14ac:dyDescent="0.3">
      <c r="A263" s="773"/>
      <c r="B263" s="773"/>
      <c r="C263" s="773"/>
      <c r="D263" s="773"/>
      <c r="E263" s="773"/>
      <c r="F263" s="773"/>
      <c r="G263" s="773"/>
      <c r="H263" s="773"/>
      <c r="I263" s="773"/>
    </row>
    <row r="264" spans="1:9" x14ac:dyDescent="0.3">
      <c r="A264" s="773"/>
      <c r="B264" s="773"/>
      <c r="C264" s="773"/>
      <c r="D264" s="773"/>
      <c r="E264" s="773"/>
      <c r="F264" s="773"/>
      <c r="G264" s="773"/>
      <c r="H264" s="773"/>
      <c r="I264" s="773"/>
    </row>
    <row r="265" spans="1:9" x14ac:dyDescent="0.3">
      <c r="A265" s="773"/>
      <c r="B265" s="773"/>
      <c r="C265" s="773"/>
      <c r="D265" s="773"/>
      <c r="E265" s="773"/>
      <c r="F265" s="773"/>
      <c r="G265" s="773"/>
      <c r="H265" s="773"/>
      <c r="I265" s="773"/>
    </row>
    <row r="266" spans="1:9" x14ac:dyDescent="0.3">
      <c r="A266" s="773"/>
      <c r="B266" s="773"/>
      <c r="C266" s="773"/>
      <c r="D266" s="773"/>
      <c r="E266" s="773"/>
      <c r="F266" s="773"/>
      <c r="G266" s="773"/>
      <c r="H266" s="773"/>
      <c r="I266" s="773"/>
    </row>
    <row r="267" spans="1:9" x14ac:dyDescent="0.3">
      <c r="A267" s="773"/>
      <c r="B267" s="773"/>
      <c r="C267" s="773"/>
      <c r="D267" s="773"/>
      <c r="E267" s="773"/>
      <c r="F267" s="773"/>
      <c r="G267" s="773"/>
      <c r="H267" s="773"/>
      <c r="I267" s="773"/>
    </row>
    <row r="268" spans="1:9" x14ac:dyDescent="0.3">
      <c r="A268" s="773"/>
      <c r="B268" s="773"/>
      <c r="C268" s="773"/>
      <c r="D268" s="773"/>
      <c r="E268" s="773"/>
      <c r="F268" s="773"/>
      <c r="G268" s="773"/>
      <c r="H268" s="773"/>
      <c r="I268" s="773"/>
    </row>
    <row r="269" spans="1:9" x14ac:dyDescent="0.3">
      <c r="A269" s="773"/>
      <c r="B269" s="773"/>
      <c r="C269" s="773"/>
      <c r="D269" s="773"/>
      <c r="E269" s="773"/>
      <c r="F269" s="773"/>
      <c r="G269" s="773"/>
      <c r="H269" s="773"/>
      <c r="I269" s="773"/>
    </row>
    <row r="270" spans="1:9" x14ac:dyDescent="0.3">
      <c r="A270" s="773"/>
      <c r="B270" s="773"/>
      <c r="C270" s="773"/>
      <c r="D270" s="773"/>
      <c r="E270" s="773"/>
      <c r="F270" s="773"/>
      <c r="G270" s="773"/>
      <c r="H270" s="773"/>
      <c r="I270" s="773"/>
    </row>
    <row r="271" spans="1:9" x14ac:dyDescent="0.3">
      <c r="A271" s="773"/>
      <c r="B271" s="773"/>
      <c r="C271" s="773"/>
      <c r="D271" s="773"/>
      <c r="E271" s="773"/>
      <c r="F271" s="773"/>
      <c r="G271" s="773"/>
      <c r="H271" s="773"/>
      <c r="I271" s="773"/>
    </row>
    <row r="272" spans="1:9" x14ac:dyDescent="0.3">
      <c r="A272" s="773"/>
      <c r="B272" s="773"/>
      <c r="C272" s="773"/>
      <c r="D272" s="773"/>
      <c r="E272" s="773"/>
      <c r="F272" s="773"/>
      <c r="G272" s="773"/>
      <c r="H272" s="773"/>
      <c r="I272" s="773"/>
    </row>
    <row r="273" spans="1:9" x14ac:dyDescent="0.3">
      <c r="A273" s="773"/>
      <c r="B273" s="773"/>
      <c r="C273" s="773"/>
      <c r="D273" s="773"/>
      <c r="E273" s="773"/>
      <c r="F273" s="773"/>
      <c r="G273" s="773"/>
      <c r="H273" s="773"/>
      <c r="I273" s="773"/>
    </row>
    <row r="274" spans="1:9" x14ac:dyDescent="0.3">
      <c r="A274" s="773"/>
      <c r="B274" s="773"/>
      <c r="C274" s="773"/>
      <c r="D274" s="773"/>
      <c r="E274" s="773"/>
      <c r="F274" s="773"/>
      <c r="G274" s="773"/>
      <c r="H274" s="773"/>
      <c r="I274" s="773"/>
    </row>
    <row r="275" spans="1:9" x14ac:dyDescent="0.3">
      <c r="A275" s="773"/>
      <c r="B275" s="773"/>
      <c r="C275" s="773"/>
      <c r="D275" s="773"/>
      <c r="E275" s="773"/>
      <c r="F275" s="773"/>
      <c r="G275" s="773"/>
      <c r="H275" s="773"/>
      <c r="I275" s="773"/>
    </row>
    <row r="276" spans="1:9" x14ac:dyDescent="0.3">
      <c r="A276" s="773"/>
      <c r="B276" s="773"/>
      <c r="C276" s="773"/>
      <c r="D276" s="773"/>
      <c r="E276" s="773"/>
      <c r="F276" s="773"/>
      <c r="G276" s="773"/>
      <c r="H276" s="773"/>
      <c r="I276" s="773"/>
    </row>
    <row r="277" spans="1:9" x14ac:dyDescent="0.3">
      <c r="A277" s="773"/>
      <c r="B277" s="773"/>
      <c r="C277" s="773"/>
      <c r="D277" s="773"/>
      <c r="E277" s="773"/>
      <c r="F277" s="773"/>
      <c r="G277" s="773"/>
      <c r="H277" s="773"/>
      <c r="I277" s="773"/>
    </row>
    <row r="278" spans="1:9" x14ac:dyDescent="0.3">
      <c r="A278" s="773"/>
      <c r="B278" s="773"/>
      <c r="C278" s="773"/>
      <c r="D278" s="773"/>
      <c r="E278" s="773"/>
      <c r="F278" s="773"/>
      <c r="G278" s="773"/>
      <c r="H278" s="773"/>
      <c r="I278" s="773"/>
    </row>
    <row r="279" spans="1:9" x14ac:dyDescent="0.3">
      <c r="A279" s="773"/>
      <c r="B279" s="773"/>
      <c r="C279" s="773"/>
      <c r="D279" s="773"/>
      <c r="E279" s="773"/>
      <c r="F279" s="773"/>
      <c r="G279" s="773"/>
      <c r="H279" s="773"/>
      <c r="I279" s="773"/>
    </row>
    <row r="280" spans="1:9" x14ac:dyDescent="0.3">
      <c r="A280" s="773"/>
      <c r="B280" s="773"/>
      <c r="C280" s="773"/>
      <c r="D280" s="773"/>
      <c r="E280" s="773"/>
      <c r="F280" s="773"/>
      <c r="G280" s="773"/>
      <c r="H280" s="773"/>
      <c r="I280" s="773"/>
    </row>
  </sheetData>
  <hyperlinks>
    <hyperlink ref="B4" location="SU_A0600" display="SU_A0600"/>
    <hyperlink ref="F2" location="SU_A0600_BOM" display="Back to BOM"/>
  </hyperlinks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O22"/>
  <sheetViews>
    <sheetView zoomScale="70" zoomScaleNormal="70" workbookViewId="0">
      <selection activeCell="N4" sqref="N4"/>
    </sheetView>
  </sheetViews>
  <sheetFormatPr baseColWidth="10" defaultRowHeight="14.4" x14ac:dyDescent="0.3"/>
  <cols>
    <col min="2" max="2" width="34.6640625" customWidth="1"/>
    <col min="3" max="3" width="27.77734375" customWidth="1"/>
    <col min="7" max="7" width="22.21875" customWidth="1"/>
    <col min="9" max="9" width="27.33203125" customWidth="1"/>
    <col min="13" max="13" width="13.3320312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775" t="s">
        <v>0</v>
      </c>
      <c r="B2" s="16" t="s">
        <v>37</v>
      </c>
      <c r="C2" s="748"/>
      <c r="D2" s="748"/>
      <c r="E2" s="748"/>
      <c r="F2" s="88" t="s">
        <v>126</v>
      </c>
      <c r="G2" s="748"/>
      <c r="H2" s="748"/>
      <c r="I2" s="748"/>
      <c r="J2" s="776" t="s">
        <v>1</v>
      </c>
      <c r="K2" s="750">
        <v>81</v>
      </c>
      <c r="L2" s="748"/>
      <c r="M2" s="777" t="s">
        <v>16</v>
      </c>
      <c r="N2" s="751">
        <f>SU_06002_m+SU_06002_p</f>
        <v>1.5427786126391492</v>
      </c>
      <c r="O2" s="276"/>
    </row>
    <row r="3" spans="1:15" x14ac:dyDescent="0.3">
      <c r="A3" s="778" t="s">
        <v>3</v>
      </c>
      <c r="B3" s="16" t="str">
        <f>'SU A0600'!B3</f>
        <v>Suspension &amp; Shocks</v>
      </c>
      <c r="C3" s="748"/>
      <c r="D3" s="777" t="s">
        <v>6</v>
      </c>
      <c r="E3" s="748"/>
      <c r="F3" s="748"/>
      <c r="G3" s="748"/>
      <c r="H3" s="748"/>
      <c r="I3" s="748"/>
      <c r="J3" s="748"/>
      <c r="K3" s="748"/>
      <c r="L3" s="748"/>
      <c r="M3" s="779" t="s">
        <v>4</v>
      </c>
      <c r="N3" s="752">
        <v>1</v>
      </c>
      <c r="O3" s="276"/>
    </row>
    <row r="4" spans="1:15" x14ac:dyDescent="0.3">
      <c r="A4" s="778" t="s">
        <v>5</v>
      </c>
      <c r="B4" s="88" t="str">
        <f>'SU A0600'!B4</f>
        <v>Front Bell Crank</v>
      </c>
      <c r="C4" s="748"/>
      <c r="D4" s="779" t="s">
        <v>8</v>
      </c>
      <c r="E4" s="748"/>
      <c r="F4" s="748"/>
      <c r="G4" s="748"/>
      <c r="H4" s="748"/>
      <c r="I4" s="748"/>
      <c r="J4" s="777" t="s">
        <v>6</v>
      </c>
      <c r="K4" s="748"/>
      <c r="L4" s="748"/>
      <c r="M4" s="748"/>
      <c r="N4" s="748"/>
      <c r="O4" s="276"/>
    </row>
    <row r="5" spans="1:15" x14ac:dyDescent="0.3">
      <c r="A5" s="778" t="s">
        <v>15</v>
      </c>
      <c r="B5" s="753" t="s">
        <v>386</v>
      </c>
      <c r="C5" s="748"/>
      <c r="D5" s="779" t="s">
        <v>12</v>
      </c>
      <c r="E5" s="748"/>
      <c r="F5" s="748"/>
      <c r="G5" s="748"/>
      <c r="H5" s="748"/>
      <c r="I5" s="748"/>
      <c r="J5" s="779" t="s">
        <v>8</v>
      </c>
      <c r="K5" s="748"/>
      <c r="L5" s="748"/>
      <c r="M5" s="777" t="s">
        <v>9</v>
      </c>
      <c r="N5" s="751">
        <f>N2*N3</f>
        <v>1.5427786126391492</v>
      </c>
      <c r="O5" s="276"/>
    </row>
    <row r="6" spans="1:15" x14ac:dyDescent="0.3">
      <c r="A6" s="778" t="s">
        <v>7</v>
      </c>
      <c r="B6" s="748" t="s">
        <v>411</v>
      </c>
      <c r="C6" s="748"/>
      <c r="D6" s="748"/>
      <c r="E6" s="748"/>
      <c r="F6" s="748"/>
      <c r="G6" s="748"/>
      <c r="H6" s="748"/>
      <c r="I6" s="748"/>
      <c r="J6" s="779" t="s">
        <v>12</v>
      </c>
      <c r="K6" s="748"/>
      <c r="L6" s="748"/>
      <c r="M6" s="748"/>
      <c r="N6" s="748"/>
      <c r="O6" s="276"/>
    </row>
    <row r="7" spans="1:15" x14ac:dyDescent="0.3">
      <c r="A7" s="778" t="s">
        <v>10</v>
      </c>
      <c r="B7" s="16" t="s">
        <v>11</v>
      </c>
      <c r="C7" s="748"/>
      <c r="D7" s="748"/>
      <c r="E7" s="748"/>
      <c r="F7" s="748"/>
      <c r="G7" s="748"/>
      <c r="H7" s="748"/>
      <c r="I7" s="748"/>
      <c r="J7" s="748"/>
      <c r="K7" s="748"/>
      <c r="L7" s="748"/>
      <c r="M7" s="748"/>
      <c r="N7" s="748"/>
      <c r="O7" s="276"/>
    </row>
    <row r="8" spans="1:15" x14ac:dyDescent="0.3">
      <c r="A8" s="778" t="s">
        <v>13</v>
      </c>
      <c r="B8" s="16"/>
      <c r="C8" s="748"/>
      <c r="D8" s="748"/>
      <c r="E8" s="748"/>
      <c r="F8" s="748"/>
      <c r="G8" s="748"/>
      <c r="H8" s="748"/>
      <c r="I8" s="748"/>
      <c r="J8" s="748"/>
      <c r="K8" s="748"/>
      <c r="L8" s="748"/>
      <c r="M8" s="748"/>
      <c r="N8" s="748"/>
      <c r="O8" s="276"/>
    </row>
    <row r="9" spans="1:15" x14ac:dyDescent="0.3">
      <c r="A9" s="754"/>
      <c r="B9" s="748"/>
      <c r="C9" s="748"/>
      <c r="D9" s="748"/>
      <c r="E9" s="748"/>
      <c r="F9" s="748"/>
      <c r="G9" s="748"/>
      <c r="H9" s="748"/>
      <c r="I9" s="748"/>
      <c r="J9" s="748"/>
      <c r="K9" s="748"/>
      <c r="L9" s="748"/>
      <c r="M9" s="748"/>
      <c r="N9" s="748"/>
      <c r="O9" s="276"/>
    </row>
    <row r="10" spans="1:15" x14ac:dyDescent="0.3">
      <c r="A10" s="780" t="s">
        <v>14</v>
      </c>
      <c r="B10" s="781" t="s">
        <v>19</v>
      </c>
      <c r="C10" s="756" t="s">
        <v>20</v>
      </c>
      <c r="D10" s="756" t="s">
        <v>21</v>
      </c>
      <c r="E10" s="756" t="s">
        <v>22</v>
      </c>
      <c r="F10" s="756" t="s">
        <v>23</v>
      </c>
      <c r="G10" s="756" t="s">
        <v>24</v>
      </c>
      <c r="H10" s="756" t="s">
        <v>25</v>
      </c>
      <c r="I10" s="756" t="s">
        <v>26</v>
      </c>
      <c r="J10" s="756" t="s">
        <v>27</v>
      </c>
      <c r="K10" s="756" t="s">
        <v>28</v>
      </c>
      <c r="L10" s="756" t="s">
        <v>29</v>
      </c>
      <c r="M10" s="756" t="s">
        <v>17</v>
      </c>
      <c r="N10" s="756" t="s">
        <v>18</v>
      </c>
      <c r="O10" s="276"/>
    </row>
    <row r="11" spans="1:15" x14ac:dyDescent="0.3">
      <c r="A11" s="782">
        <v>10</v>
      </c>
      <c r="B11" s="783" t="s">
        <v>375</v>
      </c>
      <c r="C11" s="759" t="s">
        <v>376</v>
      </c>
      <c r="D11" s="760">
        <v>2.25</v>
      </c>
      <c r="E11" s="761">
        <f>J11*K11*L11</f>
        <v>2.4168272284066282E-2</v>
      </c>
      <c r="F11" s="759" t="s">
        <v>212</v>
      </c>
      <c r="G11" s="759"/>
      <c r="H11" s="762"/>
      <c r="I11" s="763" t="s">
        <v>412</v>
      </c>
      <c r="J11" s="763">
        <f>PI()*(7*10^-3)^2</f>
        <v>1.5393804002589989E-4</v>
      </c>
      <c r="K11" s="764">
        <v>0.02</v>
      </c>
      <c r="L11" s="765">
        <v>7850</v>
      </c>
      <c r="M11" s="765">
        <v>1</v>
      </c>
      <c r="N11" s="760">
        <f>D11*E11*M11</f>
        <v>5.4378612639149136E-2</v>
      </c>
      <c r="O11" s="276"/>
    </row>
    <row r="12" spans="1:15" x14ac:dyDescent="0.3">
      <c r="A12" s="766"/>
      <c r="B12" s="767"/>
      <c r="C12" s="767"/>
      <c r="D12" s="767"/>
      <c r="E12" s="767"/>
      <c r="F12" s="767"/>
      <c r="G12" s="767"/>
      <c r="H12" s="767"/>
      <c r="I12" s="767"/>
      <c r="J12" s="767"/>
      <c r="K12" s="767"/>
      <c r="L12" s="767"/>
      <c r="M12" s="768" t="s">
        <v>18</v>
      </c>
      <c r="N12" s="769">
        <f>N11</f>
        <v>5.4378612639149136E-2</v>
      </c>
      <c r="O12" s="276"/>
    </row>
    <row r="13" spans="1:15" x14ac:dyDescent="0.3">
      <c r="A13" s="754"/>
      <c r="B13" s="748"/>
      <c r="C13" s="748"/>
      <c r="D13" s="748"/>
      <c r="E13" s="748"/>
      <c r="F13" s="748"/>
      <c r="G13" s="748"/>
      <c r="H13" s="748"/>
      <c r="I13" s="748"/>
      <c r="J13" s="748"/>
      <c r="K13" s="748"/>
      <c r="L13" s="748"/>
      <c r="M13" s="748"/>
      <c r="N13" s="748"/>
      <c r="O13" s="276"/>
    </row>
    <row r="14" spans="1:15" x14ac:dyDescent="0.3">
      <c r="A14" s="755" t="s">
        <v>14</v>
      </c>
      <c r="B14" s="756" t="s">
        <v>31</v>
      </c>
      <c r="C14" s="756" t="s">
        <v>20</v>
      </c>
      <c r="D14" s="756" t="s">
        <v>21</v>
      </c>
      <c r="E14" s="756" t="s">
        <v>32</v>
      </c>
      <c r="F14" s="756" t="s">
        <v>17</v>
      </c>
      <c r="G14" s="756" t="s">
        <v>33</v>
      </c>
      <c r="H14" s="756" t="s">
        <v>34</v>
      </c>
      <c r="I14" s="756" t="s">
        <v>18</v>
      </c>
      <c r="J14" s="767"/>
      <c r="K14" s="767"/>
      <c r="L14" s="767"/>
      <c r="M14" s="767"/>
      <c r="N14" s="767"/>
      <c r="O14" s="276"/>
    </row>
    <row r="15" spans="1:15" x14ac:dyDescent="0.3">
      <c r="A15" s="757">
        <v>10</v>
      </c>
      <c r="B15" s="759" t="s">
        <v>39</v>
      </c>
      <c r="C15" s="759"/>
      <c r="D15" s="760">
        <v>1.3</v>
      </c>
      <c r="E15" s="759" t="s">
        <v>35</v>
      </c>
      <c r="F15" s="759">
        <v>1</v>
      </c>
      <c r="G15" s="759"/>
      <c r="H15" s="759"/>
      <c r="I15" s="760">
        <v>1.3</v>
      </c>
      <c r="J15" s="748"/>
      <c r="K15" s="748"/>
      <c r="L15" s="748"/>
      <c r="M15" s="748"/>
      <c r="N15" s="748"/>
      <c r="O15" s="276"/>
    </row>
    <row r="16" spans="1:15" x14ac:dyDescent="0.3">
      <c r="A16" s="757">
        <v>20</v>
      </c>
      <c r="B16" s="759" t="s">
        <v>408</v>
      </c>
      <c r="C16" s="759" t="s">
        <v>409</v>
      </c>
      <c r="D16" s="760">
        <v>0.04</v>
      </c>
      <c r="E16" s="759" t="s">
        <v>161</v>
      </c>
      <c r="F16" s="759">
        <v>1.57</v>
      </c>
      <c r="G16" s="759" t="s">
        <v>413</v>
      </c>
      <c r="H16" s="759">
        <v>3</v>
      </c>
      <c r="I16" s="760">
        <f>D16*F16*H16</f>
        <v>0.18840000000000001</v>
      </c>
      <c r="J16" s="748"/>
      <c r="K16" s="748"/>
      <c r="L16" s="748"/>
      <c r="M16" s="748"/>
      <c r="N16" s="748"/>
      <c r="O16" s="276"/>
    </row>
    <row r="17" spans="1:15" x14ac:dyDescent="0.3">
      <c r="A17" s="766"/>
      <c r="B17" s="767"/>
      <c r="C17" s="767"/>
      <c r="D17" s="767"/>
      <c r="E17" s="767"/>
      <c r="F17" s="767"/>
      <c r="G17" s="767"/>
      <c r="H17" s="768" t="s">
        <v>18</v>
      </c>
      <c r="I17" s="770">
        <f>I15+I16</f>
        <v>1.4883999999999999</v>
      </c>
      <c r="J17" s="767"/>
      <c r="K17" s="767"/>
      <c r="L17" s="767"/>
      <c r="M17" s="767"/>
      <c r="N17" s="767"/>
      <c r="O17" s="276"/>
    </row>
    <row r="18" spans="1:15" x14ac:dyDescent="0.3">
      <c r="A18" s="754"/>
      <c r="B18" s="748"/>
      <c r="C18" s="748"/>
      <c r="D18" s="748"/>
      <c r="E18" s="748"/>
      <c r="F18" s="748"/>
      <c r="G18" s="748"/>
      <c r="H18" s="750"/>
      <c r="I18" s="751"/>
      <c r="J18" s="748"/>
      <c r="K18" s="748"/>
      <c r="L18" s="748"/>
      <c r="M18" s="748"/>
      <c r="N18" s="748"/>
      <c r="O18" s="276"/>
    </row>
    <row r="19" spans="1:15" x14ac:dyDescent="0.3">
      <c r="A19" s="754"/>
      <c r="B19" s="748"/>
      <c r="C19" s="748"/>
      <c r="D19" s="748"/>
      <c r="E19" s="748"/>
      <c r="F19" s="748"/>
      <c r="G19" s="748"/>
      <c r="H19" s="748"/>
      <c r="I19" s="748"/>
      <c r="J19" s="748"/>
      <c r="K19" s="748"/>
      <c r="L19" s="748"/>
      <c r="M19" s="748"/>
      <c r="N19" s="748"/>
      <c r="O19" s="276"/>
    </row>
    <row r="20" spans="1:15" x14ac:dyDescent="0.3">
      <c r="A20" s="722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276"/>
    </row>
    <row r="21" spans="1:15" x14ac:dyDescent="0.3">
      <c r="A21" s="722"/>
      <c r="B21" s="56"/>
      <c r="C21" s="56"/>
      <c r="D21" s="56"/>
      <c r="E21" s="56"/>
      <c r="F21" s="56"/>
      <c r="G21" s="56"/>
      <c r="H21" s="56"/>
      <c r="I21" s="56"/>
      <c r="J21" s="56"/>
      <c r="K21" s="56"/>
      <c r="L21" s="56"/>
      <c r="M21" s="56"/>
      <c r="N21" s="56"/>
      <c r="O21" s="276"/>
    </row>
    <row r="22" spans="1:15" ht="15" thickBot="1" x14ac:dyDescent="0.35">
      <c r="A22" s="296"/>
      <c r="B22" s="297"/>
      <c r="C22" s="297"/>
      <c r="D22" s="297"/>
      <c r="E22" s="297"/>
      <c r="F22" s="297"/>
      <c r="G22" s="297"/>
      <c r="H22" s="297"/>
      <c r="I22" s="297"/>
      <c r="J22" s="297"/>
      <c r="K22" s="297"/>
      <c r="L22" s="297"/>
      <c r="M22" s="297"/>
      <c r="N22" s="297"/>
      <c r="O22" s="298"/>
    </row>
  </sheetData>
  <hyperlinks>
    <hyperlink ref="F2" location="SU_A0600_BOM" display="Back to BOM"/>
    <hyperlink ref="B4" location="SU_A0600" display="SU_A0600"/>
  </hyperlinks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P18"/>
  <sheetViews>
    <sheetView zoomScale="70" zoomScaleNormal="70" workbookViewId="0">
      <selection activeCell="N4" sqref="N4"/>
    </sheetView>
  </sheetViews>
  <sheetFormatPr baseColWidth="10" defaultRowHeight="14.4" x14ac:dyDescent="0.3"/>
  <cols>
    <col min="1" max="1" width="11.5546875" customWidth="1"/>
    <col min="2" max="2" width="34.88671875" customWidth="1"/>
    <col min="3" max="3" width="36.44140625" customWidth="1"/>
    <col min="5" max="5" width="13.21875" bestFit="1" customWidth="1"/>
    <col min="7" max="7" width="19" customWidth="1"/>
    <col min="9" max="9" width="27.4414062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SU_06003_m+SU_06003_p</f>
        <v>0.88140624999999995</v>
      </c>
      <c r="O2" s="62"/>
    </row>
    <row r="3" spans="1:16" x14ac:dyDescent="0.3">
      <c r="A3" s="102" t="s">
        <v>3</v>
      </c>
      <c r="B3" s="16" t="str">
        <f>'SU A0600'!B3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6" x14ac:dyDescent="0.3">
      <c r="A4" s="102" t="s">
        <v>5</v>
      </c>
      <c r="B4" s="88" t="str">
        <f>'SU A0600'!B4</f>
        <v>Front Bell Crank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6" x14ac:dyDescent="0.3">
      <c r="A5" s="102" t="s">
        <v>15</v>
      </c>
      <c r="B5" s="28" t="s">
        <v>414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1.7628124999999999</v>
      </c>
      <c r="O5" s="62"/>
    </row>
    <row r="6" spans="1:16" x14ac:dyDescent="0.3">
      <c r="A6" s="102" t="s">
        <v>7</v>
      </c>
      <c r="B6" s="748" t="s">
        <v>415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6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6" x14ac:dyDescent="0.3">
      <c r="A11" s="784">
        <v>10</v>
      </c>
      <c r="B11" s="682" t="s">
        <v>375</v>
      </c>
      <c r="C11" s="20" t="s">
        <v>416</v>
      </c>
      <c r="D11" s="289">
        <v>2.25</v>
      </c>
      <c r="E11" s="785">
        <f>L11*J11*K11</f>
        <v>0.176625</v>
      </c>
      <c r="F11" s="20" t="s">
        <v>212</v>
      </c>
      <c r="G11" s="20"/>
      <c r="H11" s="290"/>
      <c r="I11" s="21" t="s">
        <v>417</v>
      </c>
      <c r="J11" s="786">
        <f>125*60*10^-6</f>
        <v>7.4999999999999997E-3</v>
      </c>
      <c r="K11" s="685">
        <v>3.0000000000000001E-3</v>
      </c>
      <c r="L11" s="686">
        <v>7850</v>
      </c>
      <c r="M11" s="23">
        <v>1</v>
      </c>
      <c r="N11" s="289">
        <f>IF(J11="",D11*M11,D11*J11*K11*L11*M11)</f>
        <v>0.39740625000000002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0.39740625000000002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787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6" ht="28.8" x14ac:dyDescent="0.3">
      <c r="A15" s="788">
        <v>10</v>
      </c>
      <c r="B15" s="759" t="s">
        <v>418</v>
      </c>
      <c r="C15" s="759" t="s">
        <v>419</v>
      </c>
      <c r="D15" s="760">
        <v>1.3</v>
      </c>
      <c r="E15" s="759" t="s">
        <v>35</v>
      </c>
      <c r="F15" s="759">
        <v>1</v>
      </c>
      <c r="G15" s="789" t="s">
        <v>420</v>
      </c>
      <c r="H15" s="759">
        <v>0.25</v>
      </c>
      <c r="I15" s="760">
        <f>D15*F15*H15</f>
        <v>0.32500000000000001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788">
        <v>20</v>
      </c>
      <c r="B16" s="759" t="s">
        <v>421</v>
      </c>
      <c r="C16" s="759" t="s">
        <v>422</v>
      </c>
      <c r="D16" s="760">
        <v>0.01</v>
      </c>
      <c r="E16" s="759" t="s">
        <v>40</v>
      </c>
      <c r="F16" s="759">
        <v>5.3</v>
      </c>
      <c r="G16" s="759" t="s">
        <v>413</v>
      </c>
      <c r="H16" s="759">
        <v>3</v>
      </c>
      <c r="I16" s="760">
        <f>D16*F16*H16</f>
        <v>0.159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9">
        <f>SUM(I15:I16)</f>
        <v>0.48399999999999999</v>
      </c>
      <c r="J17" s="24"/>
      <c r="K17" s="24"/>
      <c r="L17" s="24"/>
      <c r="M17" s="24"/>
      <c r="N17" s="24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6003" display="Drawing"/>
    <hyperlink ref="G2" location="SU_A0600_BOM" display="Back to BOM"/>
    <hyperlink ref="B4" location="SU_A0600" display="SU_A0600"/>
  </hyperlinks>
  <pageMargins left="0.7" right="0.7" top="0.75" bottom="0.75" header="0.3" footer="0.3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B1"/>
  <sheetViews>
    <sheetView zoomScaleNormal="100" workbookViewId="0">
      <selection activeCell="C7" sqref="C7"/>
    </sheetView>
  </sheetViews>
  <sheetFormatPr baseColWidth="10" defaultRowHeight="14.4" x14ac:dyDescent="0.3"/>
  <cols>
    <col min="1" max="1" width="12.109375" customWidth="1"/>
  </cols>
  <sheetData>
    <row r="1" spans="1:2" x14ac:dyDescent="0.3">
      <c r="A1" t="s">
        <v>423</v>
      </c>
      <c r="B1" s="287" t="s">
        <v>424</v>
      </c>
    </row>
  </sheetData>
  <hyperlinks>
    <hyperlink ref="B1" location="SU_06003" display="SU_06003"/>
  </hyperlinks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O20"/>
  <sheetViews>
    <sheetView zoomScale="70" zoomScaleNormal="70" workbookViewId="0">
      <selection activeCell="N4" sqref="N4"/>
    </sheetView>
  </sheetViews>
  <sheetFormatPr baseColWidth="10" defaultRowHeight="14.4" x14ac:dyDescent="0.3"/>
  <cols>
    <col min="2" max="2" width="39.109375" customWidth="1"/>
    <col min="3" max="3" width="30.88671875" customWidth="1"/>
    <col min="7" max="7" width="36.77734375" customWidth="1"/>
    <col min="9" max="9" width="29.21875" customWidth="1"/>
    <col min="15" max="15" width="7.777343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775" t="s">
        <v>0</v>
      </c>
      <c r="B2" s="16" t="s">
        <v>37</v>
      </c>
      <c r="C2" s="748"/>
      <c r="D2" s="748"/>
      <c r="E2" s="748"/>
      <c r="F2" s="88" t="s">
        <v>126</v>
      </c>
      <c r="G2" s="748"/>
      <c r="H2" s="748"/>
      <c r="I2" s="748"/>
      <c r="J2" s="776" t="s">
        <v>1</v>
      </c>
      <c r="K2" s="750">
        <v>81</v>
      </c>
      <c r="L2" s="748"/>
      <c r="M2" s="777" t="s">
        <v>16</v>
      </c>
      <c r="N2" s="751">
        <f>SU_06004_m+SU_06004_p</f>
        <v>2.2702062500000002</v>
      </c>
      <c r="O2" s="276"/>
    </row>
    <row r="3" spans="1:15" x14ac:dyDescent="0.3">
      <c r="A3" s="778" t="s">
        <v>3</v>
      </c>
      <c r="B3" s="16" t="str">
        <f>'SU A0600'!B3</f>
        <v>Suspension &amp; Shocks</v>
      </c>
      <c r="C3" s="748"/>
      <c r="D3" s="777" t="s">
        <v>6</v>
      </c>
      <c r="E3" s="748"/>
      <c r="F3" s="748"/>
      <c r="G3" s="748"/>
      <c r="H3" s="748"/>
      <c r="I3" s="748"/>
      <c r="J3" s="748"/>
      <c r="K3" s="748"/>
      <c r="L3" s="748"/>
      <c r="M3" s="779" t="s">
        <v>4</v>
      </c>
      <c r="N3" s="752">
        <v>2</v>
      </c>
      <c r="O3" s="276"/>
    </row>
    <row r="4" spans="1:15" x14ac:dyDescent="0.3">
      <c r="A4" s="778" t="s">
        <v>5</v>
      </c>
      <c r="B4" s="88" t="str">
        <f>'SU A0600'!B4</f>
        <v>Front Bell Crank</v>
      </c>
      <c r="C4" s="748"/>
      <c r="D4" s="779" t="s">
        <v>8</v>
      </c>
      <c r="E4" s="748"/>
      <c r="F4" s="748"/>
      <c r="G4" s="748"/>
      <c r="H4" s="748"/>
      <c r="I4" s="748"/>
      <c r="J4" s="777" t="s">
        <v>6</v>
      </c>
      <c r="K4" s="748"/>
      <c r="L4" s="748"/>
      <c r="M4" s="748"/>
      <c r="N4" s="748"/>
      <c r="O4" s="276"/>
    </row>
    <row r="5" spans="1:15" x14ac:dyDescent="0.3">
      <c r="A5" s="778" t="s">
        <v>15</v>
      </c>
      <c r="B5" s="753" t="s">
        <v>388</v>
      </c>
      <c r="C5" s="748"/>
      <c r="D5" s="779" t="s">
        <v>12</v>
      </c>
      <c r="E5" s="748"/>
      <c r="F5" s="748"/>
      <c r="G5" s="748"/>
      <c r="H5" s="748"/>
      <c r="I5" s="748"/>
      <c r="J5" s="779" t="s">
        <v>8</v>
      </c>
      <c r="K5" s="748"/>
      <c r="L5" s="748"/>
      <c r="M5" s="777" t="s">
        <v>9</v>
      </c>
      <c r="N5" s="751">
        <f>N2*N3</f>
        <v>4.5404125000000004</v>
      </c>
      <c r="O5" s="276"/>
    </row>
    <row r="6" spans="1:15" x14ac:dyDescent="0.3">
      <c r="A6" s="778" t="s">
        <v>7</v>
      </c>
      <c r="B6" s="748" t="s">
        <v>425</v>
      </c>
      <c r="C6" s="748"/>
      <c r="D6" s="748"/>
      <c r="E6" s="748"/>
      <c r="F6" s="748"/>
      <c r="G6" s="748"/>
      <c r="H6" s="748"/>
      <c r="I6" s="748"/>
      <c r="J6" s="779" t="s">
        <v>12</v>
      </c>
      <c r="K6" s="748"/>
      <c r="L6" s="748"/>
      <c r="M6" s="748"/>
      <c r="N6" s="748"/>
      <c r="O6" s="276"/>
    </row>
    <row r="7" spans="1:15" x14ac:dyDescent="0.3">
      <c r="A7" s="778" t="s">
        <v>10</v>
      </c>
      <c r="B7" s="16" t="s">
        <v>11</v>
      </c>
      <c r="C7" s="748"/>
      <c r="D7" s="748"/>
      <c r="E7" s="748"/>
      <c r="F7" s="748"/>
      <c r="G7" s="748"/>
      <c r="H7" s="748"/>
      <c r="I7" s="748"/>
      <c r="J7" s="748"/>
      <c r="K7" s="748"/>
      <c r="L7" s="748"/>
      <c r="M7" s="748"/>
      <c r="N7" s="748"/>
      <c r="O7" s="276"/>
    </row>
    <row r="8" spans="1:15" x14ac:dyDescent="0.3">
      <c r="A8" s="778" t="s">
        <v>13</v>
      </c>
      <c r="B8" s="16"/>
      <c r="C8" s="748"/>
      <c r="D8" s="748"/>
      <c r="E8" s="748"/>
      <c r="F8" s="748"/>
      <c r="G8" s="748"/>
      <c r="H8" s="748"/>
      <c r="I8" s="748"/>
      <c r="J8" s="748"/>
      <c r="K8" s="748"/>
      <c r="L8" s="748"/>
      <c r="M8" s="748"/>
      <c r="N8" s="748"/>
      <c r="O8" s="276"/>
    </row>
    <row r="9" spans="1:15" x14ac:dyDescent="0.3">
      <c r="A9" s="754"/>
      <c r="B9" s="748"/>
      <c r="C9" s="748"/>
      <c r="D9" s="748"/>
      <c r="E9" s="748"/>
      <c r="F9" s="748"/>
      <c r="G9" s="748"/>
      <c r="H9" s="748"/>
      <c r="I9" s="748"/>
      <c r="J9" s="748"/>
      <c r="K9" s="748"/>
      <c r="L9" s="748"/>
      <c r="M9" s="748"/>
      <c r="N9" s="748"/>
      <c r="O9" s="276"/>
    </row>
    <row r="10" spans="1:15" x14ac:dyDescent="0.3">
      <c r="A10" s="780" t="s">
        <v>14</v>
      </c>
      <c r="B10" s="781" t="s">
        <v>19</v>
      </c>
      <c r="C10" s="781" t="s">
        <v>20</v>
      </c>
      <c r="D10" s="756" t="s">
        <v>21</v>
      </c>
      <c r="E10" s="756" t="s">
        <v>22</v>
      </c>
      <c r="F10" s="756" t="s">
        <v>23</v>
      </c>
      <c r="G10" s="756" t="s">
        <v>24</v>
      </c>
      <c r="H10" s="756" t="s">
        <v>25</v>
      </c>
      <c r="I10" s="756" t="s">
        <v>26</v>
      </c>
      <c r="J10" s="756" t="s">
        <v>27</v>
      </c>
      <c r="K10" s="756" t="s">
        <v>28</v>
      </c>
      <c r="L10" s="756" t="s">
        <v>29</v>
      </c>
      <c r="M10" s="756" t="s">
        <v>17</v>
      </c>
      <c r="N10" s="756" t="s">
        <v>18</v>
      </c>
      <c r="O10" s="276"/>
    </row>
    <row r="11" spans="1:15" x14ac:dyDescent="0.3">
      <c r="A11" s="782">
        <v>10</v>
      </c>
      <c r="B11" s="783" t="s">
        <v>375</v>
      </c>
      <c r="C11" s="790" t="s">
        <v>376</v>
      </c>
      <c r="D11" s="760">
        <v>2.25</v>
      </c>
      <c r="E11" s="761">
        <f>J11*K11*L11</f>
        <v>5.1024999999999994E-2</v>
      </c>
      <c r="F11" s="759" t="s">
        <v>212</v>
      </c>
      <c r="G11" s="759"/>
      <c r="H11" s="762"/>
      <c r="I11" s="763" t="s">
        <v>426</v>
      </c>
      <c r="J11" s="763">
        <f>50*26*10^-6</f>
        <v>1.2999999999999999E-3</v>
      </c>
      <c r="K11" s="764">
        <v>5.0000000000000001E-3</v>
      </c>
      <c r="L11" s="765">
        <v>7850</v>
      </c>
      <c r="M11" s="765">
        <v>1</v>
      </c>
      <c r="N11" s="760">
        <f>D11*E11*M11</f>
        <v>0.11480624999999998</v>
      </c>
      <c r="O11" s="276"/>
    </row>
    <row r="12" spans="1:15" x14ac:dyDescent="0.3">
      <c r="A12" s="766"/>
      <c r="B12" s="767"/>
      <c r="C12" s="767"/>
      <c r="D12" s="767"/>
      <c r="E12" s="767"/>
      <c r="F12" s="767"/>
      <c r="G12" s="767"/>
      <c r="H12" s="767"/>
      <c r="I12" s="767"/>
      <c r="J12" s="767"/>
      <c r="K12" s="767"/>
      <c r="L12" s="767"/>
      <c r="M12" s="768" t="s">
        <v>18</v>
      </c>
      <c r="N12" s="769">
        <f>N11</f>
        <v>0.11480624999999998</v>
      </c>
      <c r="O12" s="276"/>
    </row>
    <row r="13" spans="1:15" x14ac:dyDescent="0.3">
      <c r="A13" s="754"/>
      <c r="B13" s="748"/>
      <c r="C13" s="748"/>
      <c r="D13" s="748"/>
      <c r="E13" s="748"/>
      <c r="F13" s="748"/>
      <c r="G13" s="748"/>
      <c r="H13" s="748"/>
      <c r="I13" s="748"/>
      <c r="J13" s="748"/>
      <c r="K13" s="748"/>
      <c r="L13" s="748"/>
      <c r="M13" s="748"/>
      <c r="N13" s="748"/>
      <c r="O13" s="276"/>
    </row>
    <row r="14" spans="1:15" x14ac:dyDescent="0.3">
      <c r="A14" s="755" t="s">
        <v>14</v>
      </c>
      <c r="B14" s="756" t="s">
        <v>31</v>
      </c>
      <c r="C14" s="756" t="s">
        <v>20</v>
      </c>
      <c r="D14" s="756" t="s">
        <v>21</v>
      </c>
      <c r="E14" s="756" t="s">
        <v>32</v>
      </c>
      <c r="F14" s="756" t="s">
        <v>17</v>
      </c>
      <c r="G14" s="756" t="s">
        <v>33</v>
      </c>
      <c r="H14" s="756" t="s">
        <v>34</v>
      </c>
      <c r="I14" s="756" t="s">
        <v>18</v>
      </c>
      <c r="J14" s="767"/>
      <c r="K14" s="767"/>
      <c r="L14" s="767"/>
      <c r="M14" s="767"/>
      <c r="N14" s="767"/>
      <c r="O14" s="276"/>
    </row>
    <row r="15" spans="1:15" x14ac:dyDescent="0.3">
      <c r="A15" s="757">
        <v>10</v>
      </c>
      <c r="B15" s="759" t="s">
        <v>418</v>
      </c>
      <c r="C15" s="759" t="s">
        <v>419</v>
      </c>
      <c r="D15" s="760">
        <v>1.3</v>
      </c>
      <c r="E15" s="759" t="s">
        <v>35</v>
      </c>
      <c r="F15" s="759">
        <v>1</v>
      </c>
      <c r="G15" s="759" t="s">
        <v>420</v>
      </c>
      <c r="H15" s="759">
        <v>0.25</v>
      </c>
      <c r="I15" s="760">
        <f>D15*F15*H15</f>
        <v>0.32500000000000001</v>
      </c>
      <c r="J15" s="748"/>
      <c r="K15" s="748"/>
      <c r="L15" s="748"/>
      <c r="M15" s="748"/>
      <c r="N15" s="748"/>
      <c r="O15" s="276"/>
    </row>
    <row r="16" spans="1:15" x14ac:dyDescent="0.3">
      <c r="A16" s="757">
        <v>20</v>
      </c>
      <c r="B16" s="759" t="s">
        <v>421</v>
      </c>
      <c r="C16" s="759" t="s">
        <v>422</v>
      </c>
      <c r="D16" s="760">
        <v>0.01</v>
      </c>
      <c r="E16" s="759" t="s">
        <v>40</v>
      </c>
      <c r="F16" s="759">
        <v>16</v>
      </c>
      <c r="G16" s="759" t="s">
        <v>413</v>
      </c>
      <c r="H16" s="759">
        <v>3</v>
      </c>
      <c r="I16" s="760">
        <f>D16*F16*H16</f>
        <v>0.48</v>
      </c>
      <c r="J16" s="748"/>
      <c r="K16" s="748"/>
      <c r="L16" s="748"/>
      <c r="M16" s="748"/>
      <c r="N16" s="748"/>
      <c r="O16" s="276"/>
    </row>
    <row r="17" spans="1:15" x14ac:dyDescent="0.3">
      <c r="A17" s="757">
        <v>30</v>
      </c>
      <c r="B17" s="759" t="s">
        <v>39</v>
      </c>
      <c r="C17" s="759"/>
      <c r="D17" s="760">
        <v>1.3</v>
      </c>
      <c r="E17" s="759" t="s">
        <v>35</v>
      </c>
      <c r="F17" s="759">
        <v>1</v>
      </c>
      <c r="G17" s="759"/>
      <c r="H17" s="759"/>
      <c r="I17" s="760">
        <v>1.3</v>
      </c>
      <c r="J17" s="767"/>
      <c r="K17" s="767"/>
      <c r="L17" s="767"/>
      <c r="M17" s="767"/>
      <c r="N17" s="767"/>
      <c r="O17" s="276"/>
    </row>
    <row r="18" spans="1:15" x14ac:dyDescent="0.3">
      <c r="A18" s="757">
        <v>40</v>
      </c>
      <c r="B18" s="759" t="s">
        <v>427</v>
      </c>
      <c r="C18" s="759" t="s">
        <v>409</v>
      </c>
      <c r="D18" s="760">
        <v>0.04</v>
      </c>
      <c r="E18" s="759" t="s">
        <v>161</v>
      </c>
      <c r="F18" s="759">
        <v>0.42</v>
      </c>
      <c r="G18" s="759" t="s">
        <v>413</v>
      </c>
      <c r="H18" s="759">
        <v>3</v>
      </c>
      <c r="I18" s="760">
        <f>D18*F18*H18</f>
        <v>5.04E-2</v>
      </c>
      <c r="J18" s="748"/>
      <c r="K18" s="748"/>
      <c r="L18" s="748"/>
      <c r="M18" s="748"/>
      <c r="N18" s="748"/>
      <c r="O18" s="276"/>
    </row>
    <row r="19" spans="1:15" x14ac:dyDescent="0.3">
      <c r="A19" s="766"/>
      <c r="B19" s="767"/>
      <c r="C19" s="767"/>
      <c r="D19" s="767"/>
      <c r="E19" s="767"/>
      <c r="F19" s="767"/>
      <c r="G19" s="767"/>
      <c r="H19" s="768" t="s">
        <v>18</v>
      </c>
      <c r="I19" s="770">
        <f>SUM(I15:I18)</f>
        <v>2.1554000000000002</v>
      </c>
      <c r="J19" s="56"/>
      <c r="K19" s="56"/>
      <c r="L19" s="56"/>
      <c r="M19" s="56"/>
      <c r="N19" s="56"/>
      <c r="O19" s="276"/>
    </row>
    <row r="20" spans="1:15" ht="15" thickBot="1" x14ac:dyDescent="0.35">
      <c r="A20" s="771"/>
      <c r="B20" s="772"/>
      <c r="C20" s="772"/>
      <c r="D20" s="772"/>
      <c r="E20" s="772"/>
      <c r="F20" s="772"/>
      <c r="G20" s="772"/>
      <c r="H20" s="791"/>
      <c r="I20" s="792"/>
      <c r="J20" s="297"/>
      <c r="K20" s="297"/>
      <c r="L20" s="297"/>
      <c r="M20" s="297"/>
      <c r="N20" s="297"/>
      <c r="O20" s="298"/>
    </row>
  </sheetData>
  <hyperlinks>
    <hyperlink ref="F2" location="SU_A0600_BOM" display="Back to BOM"/>
    <hyperlink ref="B4" location="SU_A0600" display="SU_A0600"/>
  </hyperlinks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52"/>
  <sheetViews>
    <sheetView zoomScale="75" zoomScaleNormal="75" zoomScaleSheetLayoutView="80" workbookViewId="0">
      <selection activeCell="P9" sqref="P9"/>
    </sheetView>
  </sheetViews>
  <sheetFormatPr baseColWidth="10" defaultColWidth="9.109375" defaultRowHeight="14.4" x14ac:dyDescent="0.3"/>
  <cols>
    <col min="2" max="2" width="28" customWidth="1"/>
    <col min="3" max="3" width="46" customWidth="1"/>
    <col min="5" max="5" width="10.33203125" customWidth="1"/>
    <col min="7" max="7" width="7" customWidth="1"/>
    <col min="8" max="8" width="11" customWidth="1"/>
    <col min="15" max="15" width="5.33203125" customWidth="1"/>
  </cols>
  <sheetData>
    <row r="1" spans="1:15" x14ac:dyDescent="0.3">
      <c r="A1" s="853"/>
      <c r="B1" s="854"/>
      <c r="C1" s="854"/>
      <c r="D1" s="854"/>
      <c r="E1" s="854"/>
      <c r="F1" s="854"/>
      <c r="G1" s="854"/>
      <c r="H1" s="854"/>
      <c r="I1" s="854"/>
      <c r="J1" s="854"/>
      <c r="K1" s="854"/>
      <c r="L1" s="854"/>
      <c r="M1" s="854"/>
      <c r="N1" s="854"/>
      <c r="O1" s="855"/>
    </row>
    <row r="2" spans="1:15" x14ac:dyDescent="0.3">
      <c r="A2" s="720" t="s">
        <v>0</v>
      </c>
      <c r="B2" s="16" t="s">
        <v>37</v>
      </c>
      <c r="C2" s="57"/>
      <c r="D2" s="57"/>
      <c r="E2" s="856" t="s">
        <v>126</v>
      </c>
      <c r="F2" s="57"/>
      <c r="G2" s="57"/>
      <c r="H2" s="57"/>
      <c r="I2" s="57"/>
      <c r="J2" s="98" t="s">
        <v>1</v>
      </c>
      <c r="K2" s="83">
        <v>81</v>
      </c>
      <c r="L2" s="57"/>
      <c r="M2" s="98" t="s">
        <v>2</v>
      </c>
      <c r="N2" s="95">
        <f>SU_A0700_pa+SU_A0700_m+SU_A0700_p+SU_A0700_f+SU_A0700_t</f>
        <v>340.94452558086874</v>
      </c>
      <c r="O2" s="740"/>
    </row>
    <row r="3" spans="1:15" x14ac:dyDescent="0.3">
      <c r="A3" s="720" t="s">
        <v>3</v>
      </c>
      <c r="B3" s="16" t="s">
        <v>129</v>
      </c>
      <c r="C3" s="57"/>
      <c r="D3" s="57"/>
      <c r="E3" s="57"/>
      <c r="F3" s="57"/>
      <c r="G3" s="57"/>
      <c r="H3" s="57"/>
      <c r="I3" s="57"/>
      <c r="J3" s="57"/>
      <c r="K3" s="57"/>
      <c r="L3" s="57"/>
      <c r="M3" s="98" t="s">
        <v>4</v>
      </c>
      <c r="N3" s="82">
        <v>2</v>
      </c>
      <c r="O3" s="740"/>
    </row>
    <row r="4" spans="1:15" x14ac:dyDescent="0.3">
      <c r="A4" s="720" t="s">
        <v>5</v>
      </c>
      <c r="B4" s="57" t="s">
        <v>428</v>
      </c>
      <c r="C4" s="57"/>
      <c r="D4" s="57"/>
      <c r="E4" s="57"/>
      <c r="F4" s="57"/>
      <c r="G4" s="57"/>
      <c r="H4" s="57"/>
      <c r="I4" s="57"/>
      <c r="J4" s="99" t="s">
        <v>6</v>
      </c>
      <c r="K4" s="57"/>
      <c r="L4" s="57"/>
      <c r="M4" s="57"/>
      <c r="N4" s="57"/>
      <c r="O4" s="740"/>
    </row>
    <row r="5" spans="1:15" x14ac:dyDescent="0.3">
      <c r="A5" s="720" t="s">
        <v>7</v>
      </c>
      <c r="B5" s="18" t="s">
        <v>429</v>
      </c>
      <c r="C5" s="57"/>
      <c r="D5" s="57"/>
      <c r="E5" s="57"/>
      <c r="F5" s="57"/>
      <c r="G5" s="57"/>
      <c r="H5" s="57"/>
      <c r="I5" s="57"/>
      <c r="J5" s="99" t="s">
        <v>8</v>
      </c>
      <c r="K5" s="57"/>
      <c r="L5" s="57"/>
      <c r="M5" s="98" t="s">
        <v>9</v>
      </c>
      <c r="N5" s="74">
        <f>N2*N3</f>
        <v>681.88905116173748</v>
      </c>
      <c r="O5" s="740"/>
    </row>
    <row r="6" spans="1:15" x14ac:dyDescent="0.3">
      <c r="A6" s="720" t="s">
        <v>10</v>
      </c>
      <c r="B6" s="16" t="s">
        <v>11</v>
      </c>
      <c r="C6" s="57"/>
      <c r="D6" s="57"/>
      <c r="E6" s="57"/>
      <c r="F6" s="57"/>
      <c r="G6" s="57"/>
      <c r="H6" s="57"/>
      <c r="I6" s="57"/>
      <c r="J6" s="99" t="s">
        <v>12</v>
      </c>
      <c r="K6" s="57"/>
      <c r="L6" s="57"/>
      <c r="M6" s="57"/>
      <c r="N6" s="57"/>
      <c r="O6" s="740"/>
    </row>
    <row r="7" spans="1:15" x14ac:dyDescent="0.3">
      <c r="A7" s="720" t="s">
        <v>13</v>
      </c>
      <c r="B7" s="857" t="s">
        <v>430</v>
      </c>
      <c r="C7" s="57"/>
      <c r="D7" s="57"/>
      <c r="E7" s="57"/>
      <c r="F7" s="57"/>
      <c r="G7" s="57"/>
      <c r="H7" s="57"/>
      <c r="I7" s="57"/>
      <c r="J7" s="57"/>
      <c r="K7" s="57"/>
      <c r="L7" s="57"/>
      <c r="M7" s="57"/>
      <c r="N7" s="57"/>
      <c r="O7" s="740"/>
    </row>
    <row r="8" spans="1:15" x14ac:dyDescent="0.3">
      <c r="A8" s="858"/>
      <c r="B8" s="57"/>
      <c r="C8" s="57"/>
      <c r="D8" s="57"/>
      <c r="E8" s="57"/>
      <c r="F8" s="57"/>
      <c r="G8" s="57"/>
      <c r="H8" s="57"/>
      <c r="I8" s="57"/>
      <c r="J8" s="57"/>
      <c r="K8" s="57"/>
      <c r="L8" s="57"/>
      <c r="M8" s="57"/>
      <c r="N8" s="57"/>
      <c r="O8" s="740"/>
    </row>
    <row r="9" spans="1:15" x14ac:dyDescent="0.3">
      <c r="A9" s="723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7"/>
      <c r="G9" s="57"/>
      <c r="H9" s="57"/>
      <c r="I9" s="57"/>
      <c r="J9" s="57"/>
      <c r="K9" s="57"/>
      <c r="L9" s="57"/>
      <c r="M9" s="57"/>
      <c r="N9" s="57"/>
      <c r="O9" s="740"/>
    </row>
    <row r="10" spans="1:15" x14ac:dyDescent="0.3">
      <c r="A10" s="793">
        <v>10</v>
      </c>
      <c r="B10" s="472" t="s">
        <v>431</v>
      </c>
      <c r="C10" s="585">
        <f>'SU 07001'!N2</f>
        <v>5.9234014172552163</v>
      </c>
      <c r="D10" s="651">
        <f>SU_07001_q</f>
        <v>1</v>
      </c>
      <c r="E10" s="585">
        <f>C10*D10</f>
        <v>5.9234014172552163</v>
      </c>
      <c r="F10" s="57"/>
      <c r="G10" s="57"/>
      <c r="H10" s="57"/>
      <c r="I10" s="57"/>
      <c r="J10" s="57"/>
      <c r="K10" s="57"/>
      <c r="L10" s="57"/>
      <c r="M10" s="57"/>
      <c r="N10" s="57"/>
      <c r="O10" s="740"/>
    </row>
    <row r="11" spans="1:15" x14ac:dyDescent="0.3">
      <c r="A11" s="858"/>
      <c r="B11" s="57"/>
      <c r="C11" s="57"/>
      <c r="D11" s="265" t="s">
        <v>18</v>
      </c>
      <c r="E11" s="244">
        <f>SUM(E10:E10)</f>
        <v>5.9234014172552163</v>
      </c>
      <c r="F11" s="57"/>
      <c r="G11" s="57"/>
      <c r="H11" s="57"/>
      <c r="I11" s="57"/>
      <c r="J11" s="57"/>
      <c r="K11" s="57"/>
      <c r="L11" s="57"/>
      <c r="M11" s="57"/>
      <c r="N11" s="57"/>
      <c r="O11" s="740"/>
    </row>
    <row r="12" spans="1:15" x14ac:dyDescent="0.3">
      <c r="A12" s="858"/>
      <c r="B12" s="57"/>
      <c r="C12" s="57"/>
      <c r="D12" s="57"/>
      <c r="E12" s="57"/>
      <c r="F12" s="57"/>
      <c r="G12" s="57"/>
      <c r="H12" s="57"/>
      <c r="I12" s="57"/>
      <c r="J12" s="57"/>
      <c r="K12" s="57"/>
      <c r="L12" s="57"/>
      <c r="M12" s="57"/>
      <c r="N12" s="57"/>
      <c r="O12" s="740"/>
    </row>
    <row r="13" spans="1:15" x14ac:dyDescent="0.3">
      <c r="A13" s="723" t="s">
        <v>14</v>
      </c>
      <c r="B13" s="650" t="s">
        <v>19</v>
      </c>
      <c r="C13" s="650" t="s">
        <v>20</v>
      </c>
      <c r="D13" s="650" t="s">
        <v>21</v>
      </c>
      <c r="E13" s="650" t="s">
        <v>22</v>
      </c>
      <c r="F13" s="650" t="s">
        <v>23</v>
      </c>
      <c r="G13" s="650" t="s">
        <v>24</v>
      </c>
      <c r="H13" s="650" t="s">
        <v>25</v>
      </c>
      <c r="I13" s="650" t="s">
        <v>26</v>
      </c>
      <c r="J13" s="650" t="s">
        <v>27</v>
      </c>
      <c r="K13" s="650" t="s">
        <v>28</v>
      </c>
      <c r="L13" s="650" t="s">
        <v>29</v>
      </c>
      <c r="M13" s="650" t="s">
        <v>17</v>
      </c>
      <c r="N13" s="650" t="s">
        <v>18</v>
      </c>
      <c r="O13" s="740"/>
    </row>
    <row r="14" spans="1:15" x14ac:dyDescent="0.3">
      <c r="A14" s="793">
        <v>10</v>
      </c>
      <c r="B14" s="582" t="s">
        <v>347</v>
      </c>
      <c r="C14" s="582"/>
      <c r="D14" s="585">
        <v>305</v>
      </c>
      <c r="E14" s="582"/>
      <c r="F14" s="582" t="s">
        <v>35</v>
      </c>
      <c r="G14" s="582"/>
      <c r="H14" s="586"/>
      <c r="I14" s="652"/>
      <c r="J14" s="653"/>
      <c r="K14" s="586"/>
      <c r="L14" s="586"/>
      <c r="M14" s="588">
        <v>1</v>
      </c>
      <c r="N14" s="585">
        <f>D14*M14</f>
        <v>305</v>
      </c>
      <c r="O14" s="740"/>
    </row>
    <row r="15" spans="1:15" s="22" customFormat="1" x14ac:dyDescent="0.3">
      <c r="A15" s="793">
        <v>20</v>
      </c>
      <c r="B15" s="582" t="s">
        <v>348</v>
      </c>
      <c r="C15" s="654"/>
      <c r="D15" s="585">
        <v>25</v>
      </c>
      <c r="E15" s="655"/>
      <c r="F15" s="655" t="s">
        <v>35</v>
      </c>
      <c r="G15" s="655"/>
      <c r="H15" s="586"/>
      <c r="I15" s="656"/>
      <c r="J15" s="657"/>
      <c r="K15" s="658"/>
      <c r="L15" s="859"/>
      <c r="M15" s="588">
        <v>1</v>
      </c>
      <c r="N15" s="585">
        <f>D15*M15</f>
        <v>25</v>
      </c>
      <c r="O15" s="860"/>
    </row>
    <row r="16" spans="1:15" x14ac:dyDescent="0.3">
      <c r="A16" s="861">
        <v>30</v>
      </c>
      <c r="B16" s="862" t="s">
        <v>349</v>
      </c>
      <c r="C16" s="863"/>
      <c r="D16" s="585">
        <v>0</v>
      </c>
      <c r="E16" s="863"/>
      <c r="F16" s="863" t="s">
        <v>35</v>
      </c>
      <c r="G16" s="863"/>
      <c r="H16" s="863"/>
      <c r="I16" s="863"/>
      <c r="J16" s="863"/>
      <c r="K16" s="863"/>
      <c r="L16" s="863"/>
      <c r="M16" s="863">
        <v>2</v>
      </c>
      <c r="N16" s="585">
        <f>D16*M16</f>
        <v>0</v>
      </c>
      <c r="O16" s="740"/>
    </row>
    <row r="17" spans="1:15" x14ac:dyDescent="0.3">
      <c r="A17" s="861">
        <v>40</v>
      </c>
      <c r="B17" s="862" t="s">
        <v>350</v>
      </c>
      <c r="C17" s="863" t="s">
        <v>432</v>
      </c>
      <c r="D17" s="585">
        <v>10</v>
      </c>
      <c r="E17" s="863">
        <v>4.0000000000000001E-3</v>
      </c>
      <c r="F17" s="863" t="s">
        <v>276</v>
      </c>
      <c r="G17" s="863"/>
      <c r="H17" s="863"/>
      <c r="I17" s="863"/>
      <c r="J17" s="863"/>
      <c r="K17" s="863"/>
      <c r="L17" s="863"/>
      <c r="M17" s="863">
        <v>1</v>
      </c>
      <c r="N17" s="585">
        <f>D17*E17*M17</f>
        <v>0.04</v>
      </c>
      <c r="O17" s="740"/>
    </row>
    <row r="18" spans="1:15" x14ac:dyDescent="0.3">
      <c r="A18" s="736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661" t="s">
        <v>18</v>
      </c>
      <c r="N18" s="244">
        <f>SUM(N14:N17)</f>
        <v>330.04</v>
      </c>
      <c r="O18" s="740"/>
    </row>
    <row r="19" spans="1:15" x14ac:dyDescent="0.3">
      <c r="A19" s="858"/>
      <c r="B19" s="57"/>
      <c r="C19" s="57"/>
      <c r="D19" s="57"/>
      <c r="E19" s="57"/>
      <c r="F19" s="57"/>
      <c r="G19" s="57"/>
      <c r="H19" s="57"/>
      <c r="I19" s="57"/>
      <c r="J19" s="57"/>
      <c r="K19" s="57"/>
      <c r="L19" s="57"/>
      <c r="M19" s="57"/>
      <c r="N19" s="57"/>
      <c r="O19" s="740"/>
    </row>
    <row r="20" spans="1:15" s="25" customFormat="1" x14ac:dyDescent="0.3">
      <c r="A20" s="720" t="s">
        <v>14</v>
      </c>
      <c r="B20" s="98" t="s">
        <v>31</v>
      </c>
      <c r="C20" s="98" t="s">
        <v>20</v>
      </c>
      <c r="D20" s="98" t="s">
        <v>21</v>
      </c>
      <c r="E20" s="98" t="s">
        <v>32</v>
      </c>
      <c r="F20" s="98" t="s">
        <v>17</v>
      </c>
      <c r="G20" s="98" t="s">
        <v>33</v>
      </c>
      <c r="H20" s="98" t="s">
        <v>34</v>
      </c>
      <c r="I20" s="98" t="s">
        <v>18</v>
      </c>
      <c r="J20" s="24"/>
      <c r="K20" s="24"/>
      <c r="L20" s="24"/>
      <c r="M20" s="24"/>
      <c r="N20" s="24"/>
      <c r="O20" s="864"/>
    </row>
    <row r="21" spans="1:15" s="25" customFormat="1" x14ac:dyDescent="0.3">
      <c r="A21" s="865">
        <v>10</v>
      </c>
      <c r="B21" s="866" t="s">
        <v>352</v>
      </c>
      <c r="C21" s="867" t="s">
        <v>433</v>
      </c>
      <c r="D21" s="867">
        <v>0.38</v>
      </c>
      <c r="E21" s="867" t="s">
        <v>40</v>
      </c>
      <c r="F21" s="867">
        <f>2*1.7</f>
        <v>3.4</v>
      </c>
      <c r="G21" s="867"/>
      <c r="H21" s="867"/>
      <c r="I21" s="74">
        <f t="shared" ref="I21:I30" si="0">IF(H21="",D21*F21,D21*F21*H21)</f>
        <v>1.292</v>
      </c>
      <c r="J21" s="24"/>
      <c r="K21" s="24"/>
      <c r="L21" s="24"/>
      <c r="M21" s="24"/>
      <c r="N21" s="24"/>
      <c r="O21" s="864"/>
    </row>
    <row r="22" spans="1:15" s="25" customFormat="1" x14ac:dyDescent="0.3">
      <c r="A22" s="868">
        <v>20</v>
      </c>
      <c r="B22" s="869" t="s">
        <v>354</v>
      </c>
      <c r="C22" s="869" t="s">
        <v>434</v>
      </c>
      <c r="D22" s="259">
        <v>5.25</v>
      </c>
      <c r="E22" s="870" t="s">
        <v>276</v>
      </c>
      <c r="F22" s="870">
        <v>4.0000000000000001E-3</v>
      </c>
      <c r="G22" s="867"/>
      <c r="H22" s="867"/>
      <c r="I22" s="74">
        <f t="shared" si="0"/>
        <v>2.1000000000000001E-2</v>
      </c>
      <c r="J22" s="24"/>
      <c r="K22" s="24"/>
      <c r="L22" s="24"/>
      <c r="M22" s="24"/>
      <c r="N22" s="24"/>
      <c r="O22" s="864"/>
    </row>
    <row r="23" spans="1:15" x14ac:dyDescent="0.3">
      <c r="A23" s="731">
        <v>30</v>
      </c>
      <c r="B23" s="866" t="s">
        <v>356</v>
      </c>
      <c r="C23" s="72" t="s">
        <v>357</v>
      </c>
      <c r="D23" s="74">
        <v>0.06</v>
      </c>
      <c r="E23" s="72" t="s">
        <v>35</v>
      </c>
      <c r="F23" s="72">
        <v>2</v>
      </c>
      <c r="G23" s="72"/>
      <c r="H23" s="72"/>
      <c r="I23" s="74">
        <f t="shared" si="0"/>
        <v>0.12</v>
      </c>
      <c r="J23" s="57"/>
      <c r="K23" s="57"/>
      <c r="L23" s="57"/>
      <c r="M23" s="57"/>
      <c r="N23" s="57"/>
      <c r="O23" s="740"/>
    </row>
    <row r="24" spans="1:15" x14ac:dyDescent="0.3">
      <c r="A24" s="741">
        <v>40</v>
      </c>
      <c r="B24" s="871" t="s">
        <v>358</v>
      </c>
      <c r="C24" s="238" t="s">
        <v>359</v>
      </c>
      <c r="D24" s="240">
        <v>2</v>
      </c>
      <c r="E24" s="872" t="s">
        <v>35</v>
      </c>
      <c r="F24" s="238">
        <v>2</v>
      </c>
      <c r="G24" s="238"/>
      <c r="H24" s="238"/>
      <c r="I24" s="240">
        <f t="shared" si="0"/>
        <v>4</v>
      </c>
      <c r="J24" s="57"/>
      <c r="K24" s="57"/>
      <c r="L24" s="57"/>
      <c r="M24" s="57"/>
      <c r="N24" s="57"/>
      <c r="O24" s="740"/>
    </row>
    <row r="25" spans="1:15" x14ac:dyDescent="0.3">
      <c r="A25" s="724">
        <v>50</v>
      </c>
      <c r="B25" s="873" t="s">
        <v>360</v>
      </c>
      <c r="C25" s="873" t="s">
        <v>361</v>
      </c>
      <c r="D25" s="289">
        <v>0.06</v>
      </c>
      <c r="E25" s="688" t="s">
        <v>35</v>
      </c>
      <c r="F25" s="688">
        <v>2</v>
      </c>
      <c r="G25" s="688"/>
      <c r="H25" s="688"/>
      <c r="I25" s="289">
        <f t="shared" si="0"/>
        <v>0.12</v>
      </c>
      <c r="J25" s="57"/>
      <c r="K25" s="57"/>
      <c r="L25" s="57"/>
      <c r="M25" s="57"/>
      <c r="N25" s="57"/>
      <c r="O25" s="740"/>
    </row>
    <row r="26" spans="1:15" s="17" customFormat="1" x14ac:dyDescent="0.3">
      <c r="A26" s="724">
        <v>60</v>
      </c>
      <c r="B26" s="873" t="s">
        <v>360</v>
      </c>
      <c r="C26" s="873" t="s">
        <v>362</v>
      </c>
      <c r="D26" s="289">
        <v>0.06</v>
      </c>
      <c r="E26" s="688" t="s">
        <v>35</v>
      </c>
      <c r="F26" s="688">
        <v>2</v>
      </c>
      <c r="G26" s="688"/>
      <c r="H26" s="688"/>
      <c r="I26" s="289">
        <f t="shared" si="0"/>
        <v>0.12</v>
      </c>
      <c r="J26" s="57"/>
      <c r="K26" s="57"/>
      <c r="L26" s="57"/>
      <c r="M26" s="57"/>
      <c r="N26" s="57"/>
      <c r="O26" s="740"/>
    </row>
    <row r="27" spans="1:15" s="25" customFormat="1" x14ac:dyDescent="0.3">
      <c r="A27" s="724">
        <v>70</v>
      </c>
      <c r="B27" s="255" t="s">
        <v>363</v>
      </c>
      <c r="C27" s="873" t="s">
        <v>435</v>
      </c>
      <c r="D27" s="289">
        <v>0.12</v>
      </c>
      <c r="E27" s="688" t="s">
        <v>35</v>
      </c>
      <c r="F27" s="688">
        <v>2</v>
      </c>
      <c r="G27" s="688"/>
      <c r="H27" s="688"/>
      <c r="I27" s="289">
        <f t="shared" si="0"/>
        <v>0.24</v>
      </c>
      <c r="J27" s="57"/>
      <c r="K27" s="57"/>
      <c r="L27" s="57"/>
      <c r="M27" s="57"/>
      <c r="N27" s="57"/>
      <c r="O27" s="864"/>
    </row>
    <row r="28" spans="1:15" s="25" customFormat="1" x14ac:dyDescent="0.3">
      <c r="A28" s="724">
        <v>80</v>
      </c>
      <c r="B28" s="255" t="s">
        <v>363</v>
      </c>
      <c r="C28" s="873" t="s">
        <v>365</v>
      </c>
      <c r="D28" s="289">
        <v>0.12</v>
      </c>
      <c r="E28" s="688" t="s">
        <v>35</v>
      </c>
      <c r="F28" s="688">
        <v>2</v>
      </c>
      <c r="G28" s="688"/>
      <c r="H28" s="688"/>
      <c r="I28" s="289">
        <f t="shared" si="0"/>
        <v>0.24</v>
      </c>
      <c r="J28" s="57"/>
      <c r="K28" s="57"/>
      <c r="L28" s="57"/>
      <c r="M28" s="57"/>
      <c r="N28" s="57"/>
      <c r="O28" s="864"/>
    </row>
    <row r="29" spans="1:15" s="17" customFormat="1" x14ac:dyDescent="0.3">
      <c r="A29" s="724">
        <v>90</v>
      </c>
      <c r="B29" s="255" t="s">
        <v>366</v>
      </c>
      <c r="C29" s="873" t="s">
        <v>367</v>
      </c>
      <c r="D29" s="289">
        <v>0.75</v>
      </c>
      <c r="E29" s="874" t="s">
        <v>35</v>
      </c>
      <c r="F29" s="688">
        <v>2</v>
      </c>
      <c r="G29" s="688"/>
      <c r="H29" s="688"/>
      <c r="I29" s="289">
        <f t="shared" si="0"/>
        <v>1.5</v>
      </c>
      <c r="J29" s="57"/>
      <c r="K29" s="57"/>
      <c r="L29" s="57"/>
      <c r="M29" s="57"/>
      <c r="N29" s="57"/>
      <c r="O29" s="740"/>
    </row>
    <row r="30" spans="1:15" s="17" customFormat="1" x14ac:dyDescent="0.3">
      <c r="A30" s="724">
        <v>100</v>
      </c>
      <c r="B30" s="255" t="s">
        <v>368</v>
      </c>
      <c r="C30" s="873" t="s">
        <v>367</v>
      </c>
      <c r="D30" s="289">
        <v>0.25</v>
      </c>
      <c r="E30" s="874" t="s">
        <v>35</v>
      </c>
      <c r="F30" s="688">
        <v>2</v>
      </c>
      <c r="G30" s="688"/>
      <c r="H30" s="688"/>
      <c r="I30" s="289">
        <f t="shared" si="0"/>
        <v>0.5</v>
      </c>
      <c r="J30" s="57"/>
      <c r="K30" s="57"/>
      <c r="L30" s="57"/>
      <c r="M30" s="57"/>
      <c r="N30" s="57"/>
      <c r="O30" s="740"/>
    </row>
    <row r="31" spans="1:15" x14ac:dyDescent="0.3">
      <c r="A31" s="736"/>
      <c r="B31" s="24"/>
      <c r="C31" s="24"/>
      <c r="D31" s="24"/>
      <c r="E31" s="24"/>
      <c r="F31" s="24"/>
      <c r="G31" s="24"/>
      <c r="H31" s="265" t="s">
        <v>18</v>
      </c>
      <c r="I31" s="244">
        <f>SUM(I23:I25)</f>
        <v>4.24</v>
      </c>
      <c r="J31" s="57"/>
      <c r="K31" s="57"/>
      <c r="L31" s="57"/>
      <c r="M31" s="57"/>
      <c r="N31" s="57"/>
      <c r="O31" s="740"/>
    </row>
    <row r="32" spans="1:15" x14ac:dyDescent="0.3">
      <c r="A32" s="858"/>
      <c r="B32" s="57"/>
      <c r="C32" s="57"/>
      <c r="D32" s="57"/>
      <c r="E32" s="57"/>
      <c r="F32" s="57"/>
      <c r="G32" s="57"/>
      <c r="H32" s="57"/>
      <c r="I32" s="57"/>
      <c r="J32" s="57"/>
      <c r="K32" s="57"/>
      <c r="L32" s="57"/>
      <c r="M32" s="57"/>
      <c r="N32" s="57"/>
      <c r="O32" s="740"/>
    </row>
    <row r="33" spans="1:15" x14ac:dyDescent="0.3">
      <c r="A33" s="720" t="s">
        <v>14</v>
      </c>
      <c r="B33" s="98" t="s">
        <v>36</v>
      </c>
      <c r="C33" s="98" t="s">
        <v>20</v>
      </c>
      <c r="D33" s="98" t="s">
        <v>21</v>
      </c>
      <c r="E33" s="98" t="s">
        <v>22</v>
      </c>
      <c r="F33" s="98" t="s">
        <v>23</v>
      </c>
      <c r="G33" s="98" t="s">
        <v>24</v>
      </c>
      <c r="H33" s="98" t="s">
        <v>25</v>
      </c>
      <c r="I33" s="98" t="s">
        <v>17</v>
      </c>
      <c r="J33" s="98" t="s">
        <v>18</v>
      </c>
      <c r="K33" s="57"/>
      <c r="L33" s="57"/>
      <c r="M33" s="57"/>
      <c r="N33" s="57"/>
      <c r="O33" s="740"/>
    </row>
    <row r="34" spans="1:15" x14ac:dyDescent="0.3">
      <c r="A34" s="731">
        <v>10</v>
      </c>
      <c r="B34" s="72" t="s">
        <v>369</v>
      </c>
      <c r="C34" s="72" t="s">
        <v>436</v>
      </c>
      <c r="D34" s="676">
        <f>0.8/105154*E34^2*G34*SQRT(G34)+0.003*EXP(0.319*E34)</f>
        <v>0.13931812332052654</v>
      </c>
      <c r="E34" s="677">
        <v>8</v>
      </c>
      <c r="F34" s="677" t="s">
        <v>30</v>
      </c>
      <c r="G34" s="677">
        <v>35</v>
      </c>
      <c r="H34" s="677" t="s">
        <v>30</v>
      </c>
      <c r="I34" s="82">
        <v>2</v>
      </c>
      <c r="J34" s="74">
        <f>I34*D34</f>
        <v>0.27863624664105308</v>
      </c>
      <c r="K34" s="57"/>
      <c r="L34" s="57"/>
      <c r="M34" s="57"/>
      <c r="N34" s="57"/>
      <c r="O34" s="740"/>
    </row>
    <row r="35" spans="1:15" x14ac:dyDescent="0.3">
      <c r="A35" s="731">
        <v>20</v>
      </c>
      <c r="B35" s="72" t="s">
        <v>371</v>
      </c>
      <c r="C35" s="72" t="s">
        <v>436</v>
      </c>
      <c r="D35" s="676">
        <v>0.01</v>
      </c>
      <c r="E35" s="72">
        <v>8</v>
      </c>
      <c r="F35" s="678" t="s">
        <v>30</v>
      </c>
      <c r="G35" s="72"/>
      <c r="H35" s="72"/>
      <c r="I35" s="82">
        <v>4</v>
      </c>
      <c r="J35" s="74">
        <f>I35*D35</f>
        <v>0.04</v>
      </c>
      <c r="K35" s="57"/>
      <c r="L35" s="57"/>
      <c r="M35" s="57"/>
      <c r="N35" s="57"/>
      <c r="O35" s="740"/>
    </row>
    <row r="36" spans="1:15" x14ac:dyDescent="0.3">
      <c r="A36" s="731">
        <v>30</v>
      </c>
      <c r="B36" s="72" t="s">
        <v>372</v>
      </c>
      <c r="C36" s="72" t="s">
        <v>436</v>
      </c>
      <c r="D36" s="676">
        <f>0.009*EXP(0.2*E36)</f>
        <v>4.4577291819556032E-2</v>
      </c>
      <c r="E36" s="72">
        <v>8</v>
      </c>
      <c r="F36" s="678" t="s">
        <v>30</v>
      </c>
      <c r="G36" s="72"/>
      <c r="H36" s="72"/>
      <c r="I36" s="82">
        <v>2</v>
      </c>
      <c r="J36" s="74">
        <f>I36*D36</f>
        <v>8.9154583639112064E-2</v>
      </c>
      <c r="K36" s="57"/>
      <c r="L36" s="57"/>
      <c r="M36" s="57"/>
      <c r="N36" s="57"/>
      <c r="O36" s="740"/>
    </row>
    <row r="37" spans="1:15" x14ac:dyDescent="0.3">
      <c r="A37" s="736"/>
      <c r="B37" s="24"/>
      <c r="C37" s="24"/>
      <c r="D37" s="24"/>
      <c r="E37" s="24"/>
      <c r="F37" s="24"/>
      <c r="G37" s="24"/>
      <c r="H37" s="24"/>
      <c r="I37" s="101" t="s">
        <v>18</v>
      </c>
      <c r="J37" s="100">
        <f>SUM(J34:J36)</f>
        <v>0.40779083028016511</v>
      </c>
      <c r="K37" s="57"/>
      <c r="L37" s="57"/>
      <c r="M37" s="57"/>
      <c r="N37" s="57"/>
      <c r="O37" s="740"/>
    </row>
    <row r="38" spans="1:15" x14ac:dyDescent="0.3">
      <c r="A38" s="858"/>
      <c r="B38" s="57"/>
      <c r="C38" s="57"/>
      <c r="D38" s="57"/>
      <c r="E38" s="57"/>
      <c r="F38" s="57"/>
      <c r="G38" s="57"/>
      <c r="H38" s="57"/>
      <c r="I38" s="57"/>
      <c r="J38" s="57"/>
      <c r="K38" s="57"/>
      <c r="L38" s="57"/>
      <c r="M38" s="57"/>
      <c r="N38" s="57"/>
      <c r="O38" s="740"/>
    </row>
    <row r="39" spans="1:15" x14ac:dyDescent="0.3">
      <c r="A39" s="720" t="s">
        <v>14</v>
      </c>
      <c r="B39" s="98" t="s">
        <v>250</v>
      </c>
      <c r="C39" s="98" t="s">
        <v>20</v>
      </c>
      <c r="D39" s="98" t="s">
        <v>21</v>
      </c>
      <c r="E39" s="98" t="s">
        <v>32</v>
      </c>
      <c r="F39" s="98" t="s">
        <v>17</v>
      </c>
      <c r="G39" s="98" t="s">
        <v>251</v>
      </c>
      <c r="H39" s="98" t="s">
        <v>252</v>
      </c>
      <c r="I39" s="98" t="s">
        <v>18</v>
      </c>
      <c r="J39" s="24"/>
      <c r="K39" s="57"/>
      <c r="L39" s="57"/>
      <c r="M39" s="57"/>
      <c r="N39" s="57"/>
      <c r="O39" s="740"/>
    </row>
    <row r="40" spans="1:15" x14ac:dyDescent="0.3">
      <c r="A40" s="731">
        <v>10</v>
      </c>
      <c r="B40" s="72" t="s">
        <v>253</v>
      </c>
      <c r="C40" s="875" t="s">
        <v>373</v>
      </c>
      <c r="D40" s="74">
        <v>500</v>
      </c>
      <c r="E40" s="72" t="s">
        <v>255</v>
      </c>
      <c r="F40" s="72">
        <v>2</v>
      </c>
      <c r="G40" s="72">
        <v>3000</v>
      </c>
      <c r="H40" s="72">
        <v>1</v>
      </c>
      <c r="I40" s="74">
        <f>D40*F40/G40*H40</f>
        <v>0.33333333333333331</v>
      </c>
      <c r="J40" s="24"/>
      <c r="K40" s="57"/>
      <c r="L40" s="57"/>
      <c r="M40" s="57"/>
      <c r="N40" s="57"/>
      <c r="O40" s="740"/>
    </row>
    <row r="41" spans="1:15" x14ac:dyDescent="0.3">
      <c r="A41" s="736"/>
      <c r="B41" s="24"/>
      <c r="C41" s="24"/>
      <c r="D41" s="24"/>
      <c r="E41" s="24"/>
      <c r="F41" s="24"/>
      <c r="G41" s="24"/>
      <c r="H41" s="265" t="s">
        <v>18</v>
      </c>
      <c r="I41" s="244">
        <f>SUM(I40:I40)</f>
        <v>0.33333333333333331</v>
      </c>
      <c r="J41" s="24"/>
      <c r="K41" s="57"/>
      <c r="L41" s="57"/>
      <c r="M41" s="57"/>
      <c r="N41" s="57"/>
      <c r="O41" s="740"/>
    </row>
    <row r="42" spans="1:15" ht="15" thickBot="1" x14ac:dyDescent="0.35">
      <c r="A42" s="876"/>
      <c r="B42" s="877"/>
      <c r="C42" s="877"/>
      <c r="D42" s="877"/>
      <c r="E42" s="877"/>
      <c r="F42" s="877"/>
      <c r="G42" s="877"/>
      <c r="H42" s="877"/>
      <c r="I42" s="877"/>
      <c r="J42" s="877"/>
      <c r="K42" s="877"/>
      <c r="L42" s="877"/>
      <c r="M42" s="877"/>
      <c r="N42" s="877"/>
      <c r="O42" s="878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  <row r="45" spans="1:15" x14ac:dyDescent="0.3">
      <c r="B45" s="56"/>
      <c r="C45" s="56"/>
      <c r="D45" s="56"/>
      <c r="E45" s="56"/>
      <c r="F45" s="56"/>
    </row>
    <row r="46" spans="1:15" x14ac:dyDescent="0.3">
      <c r="B46" s="56"/>
      <c r="C46" s="680"/>
      <c r="D46" s="680"/>
      <c r="E46" s="56"/>
      <c r="F46" s="56"/>
    </row>
    <row r="47" spans="1:15" x14ac:dyDescent="0.3">
      <c r="B47" s="56"/>
      <c r="C47" s="680"/>
      <c r="D47" s="680"/>
      <c r="E47" s="56"/>
      <c r="F47" s="56"/>
    </row>
    <row r="48" spans="1:15" x14ac:dyDescent="0.3">
      <c r="B48" s="56"/>
      <c r="C48" s="681"/>
      <c r="D48" s="680"/>
      <c r="E48" s="56"/>
      <c r="F48" s="56"/>
    </row>
    <row r="49" spans="2:6" x14ac:dyDescent="0.3">
      <c r="B49" s="56"/>
      <c r="C49" s="681"/>
      <c r="D49" s="680"/>
      <c r="E49" s="56"/>
      <c r="F49" s="56"/>
    </row>
    <row r="50" spans="2:6" x14ac:dyDescent="0.3">
      <c r="B50" s="56"/>
      <c r="C50" s="681"/>
      <c r="D50" s="680"/>
      <c r="E50" s="56"/>
      <c r="F50" s="56"/>
    </row>
    <row r="51" spans="2:6" x14ac:dyDescent="0.3">
      <c r="B51" s="56"/>
      <c r="C51" s="681"/>
      <c r="D51" s="680"/>
      <c r="E51" s="56"/>
      <c r="F51" s="56"/>
    </row>
    <row r="52" spans="2:6" x14ac:dyDescent="0.3">
      <c r="B52" s="56"/>
      <c r="C52" s="681"/>
      <c r="D52" s="680"/>
      <c r="E52" s="56"/>
      <c r="F52" s="56"/>
    </row>
  </sheetData>
  <hyperlinks>
    <hyperlink ref="B10" location="SU_07001" display="Shock Rear Bracket"/>
    <hyperlink ref="E2" location="SU_A07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2" max="16383" man="1"/>
  </rowBreaks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3"/>
  <sheetViews>
    <sheetView zoomScale="75" zoomScaleNormal="75" workbookViewId="0">
      <selection activeCell="B4" sqref="B4"/>
    </sheetView>
  </sheetViews>
  <sheetFormatPr baseColWidth="10" defaultColWidth="9.109375" defaultRowHeight="14.4" x14ac:dyDescent="0.3"/>
  <cols>
    <col min="2" max="2" width="17.33203125" customWidth="1"/>
    <col min="3" max="3" width="16.88671875" customWidth="1"/>
    <col min="7" max="7" width="13.88671875" customWidth="1"/>
    <col min="9" max="9" width="26.21875" customWidth="1"/>
    <col min="10" max="10" width="12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SU_07001_m+SU_07001_p</f>
        <v>5.9234014172552163</v>
      </c>
      <c r="O2" s="62"/>
    </row>
    <row r="3" spans="1:15" x14ac:dyDescent="0.3">
      <c r="A3" s="102" t="s">
        <v>3</v>
      </c>
      <c r="B3" s="16" t="str">
        <f>'SU A0700'!B3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tr">
        <f>'SU A0700'!B4</f>
        <v>Rear suspension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18" t="s">
        <v>438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5.9234014172552163</v>
      </c>
      <c r="O5" s="62"/>
    </row>
    <row r="6" spans="1:15" x14ac:dyDescent="0.3">
      <c r="A6" s="102" t="s">
        <v>7</v>
      </c>
      <c r="B6" s="56" t="s">
        <v>437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 t="s">
        <v>374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s="22" customFormat="1" x14ac:dyDescent="0.3">
      <c r="A11" s="85">
        <v>10</v>
      </c>
      <c r="B11" s="682" t="s">
        <v>375</v>
      </c>
      <c r="C11" s="20" t="s">
        <v>376</v>
      </c>
      <c r="D11" s="289">
        <v>2.25</v>
      </c>
      <c r="E11" s="683">
        <f>J11*K11*L11</f>
        <v>0.17182285211342935</v>
      </c>
      <c r="F11" s="20" t="s">
        <v>212</v>
      </c>
      <c r="G11" s="20"/>
      <c r="H11" s="290"/>
      <c r="I11" s="21" t="s">
        <v>377</v>
      </c>
      <c r="J11" s="684">
        <f>PI()*0.0155^2</f>
        <v>7.5476763502494771E-4</v>
      </c>
      <c r="K11" s="685">
        <v>2.9000000000000001E-2</v>
      </c>
      <c r="L11" s="686">
        <v>7850</v>
      </c>
      <c r="M11" s="23">
        <v>1</v>
      </c>
      <c r="N11" s="289">
        <f>E11*D11</f>
        <v>0.38660141725521602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0.38660141725521602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687"/>
      <c r="L14" s="24"/>
      <c r="M14" s="24"/>
      <c r="N14" s="24"/>
      <c r="O14" s="62"/>
    </row>
    <row r="15" spans="1:15" s="25" customFormat="1" x14ac:dyDescent="0.3">
      <c r="A15" s="795">
        <v>10</v>
      </c>
      <c r="B15" s="694" t="s">
        <v>39</v>
      </c>
      <c r="C15" s="693" t="s">
        <v>134</v>
      </c>
      <c r="D15" s="289">
        <v>1.3</v>
      </c>
      <c r="E15" s="694" t="s">
        <v>35</v>
      </c>
      <c r="F15" s="693">
        <v>1</v>
      </c>
      <c r="G15" s="693"/>
      <c r="H15" s="693"/>
      <c r="I15" s="289">
        <f t="shared" ref="I15:I19" si="0">IF(H15="",D15*F15,D15*F15*H15)</f>
        <v>1.3</v>
      </c>
      <c r="J15" s="58"/>
      <c r="K15" s="58"/>
      <c r="L15" s="58"/>
      <c r="M15" s="58"/>
      <c r="N15" s="58"/>
      <c r="O15" s="68"/>
    </row>
    <row r="16" spans="1:15" x14ac:dyDescent="0.3">
      <c r="A16" s="85">
        <v>11</v>
      </c>
      <c r="B16" s="694" t="s">
        <v>159</v>
      </c>
      <c r="C16" s="20" t="s">
        <v>378</v>
      </c>
      <c r="D16" s="289">
        <v>0.04</v>
      </c>
      <c r="E16" s="20" t="s">
        <v>161</v>
      </c>
      <c r="F16" s="796">
        <v>2.64</v>
      </c>
      <c r="G16" s="694" t="s">
        <v>379</v>
      </c>
      <c r="H16" s="693">
        <v>3</v>
      </c>
      <c r="I16" s="289">
        <f t="shared" si="0"/>
        <v>0.31680000000000003</v>
      </c>
      <c r="J16" s="56"/>
      <c r="K16" s="56"/>
      <c r="L16" s="56"/>
      <c r="M16" s="56"/>
      <c r="N16" s="56"/>
      <c r="O16" s="62"/>
    </row>
    <row r="17" spans="1:15" s="17" customFormat="1" x14ac:dyDescent="0.3">
      <c r="A17" s="795">
        <v>20</v>
      </c>
      <c r="B17" s="694" t="s">
        <v>380</v>
      </c>
      <c r="C17" s="693"/>
      <c r="D17" s="289">
        <v>0.65</v>
      </c>
      <c r="E17" s="694"/>
      <c r="F17" s="693">
        <v>1</v>
      </c>
      <c r="G17" s="693"/>
      <c r="H17" s="693"/>
      <c r="I17" s="289">
        <f t="shared" si="0"/>
        <v>0.65</v>
      </c>
      <c r="J17" s="57"/>
      <c r="K17" s="57"/>
      <c r="L17" s="57"/>
      <c r="M17" s="57"/>
      <c r="N17" s="57"/>
      <c r="O17" s="65"/>
    </row>
    <row r="18" spans="1:15" x14ac:dyDescent="0.3">
      <c r="A18" s="85">
        <v>21</v>
      </c>
      <c r="B18" s="694" t="s">
        <v>159</v>
      </c>
      <c r="C18" s="20" t="s">
        <v>378</v>
      </c>
      <c r="D18" s="289">
        <v>0.04</v>
      </c>
      <c r="E18" s="20" t="s">
        <v>161</v>
      </c>
      <c r="F18" s="796">
        <v>9.1999999999999993</v>
      </c>
      <c r="G18" s="694" t="s">
        <v>379</v>
      </c>
      <c r="H18" s="693">
        <v>3</v>
      </c>
      <c r="I18" s="289">
        <f t="shared" si="0"/>
        <v>1.1040000000000001</v>
      </c>
      <c r="J18" s="56"/>
      <c r="K18" s="56"/>
      <c r="L18" s="56"/>
      <c r="M18" s="56"/>
      <c r="N18" s="56"/>
      <c r="O18" s="62"/>
    </row>
    <row r="19" spans="1:15" x14ac:dyDescent="0.3">
      <c r="A19" s="795">
        <v>22</v>
      </c>
      <c r="B19" s="694" t="s">
        <v>380</v>
      </c>
      <c r="C19" s="693"/>
      <c r="D19" s="289">
        <v>0.65</v>
      </c>
      <c r="E19" s="694"/>
      <c r="F19" s="693">
        <v>1</v>
      </c>
      <c r="G19" s="693"/>
      <c r="H19" s="693"/>
      <c r="I19" s="289">
        <f t="shared" si="0"/>
        <v>0.65</v>
      </c>
      <c r="J19" s="56"/>
      <c r="K19" s="56"/>
      <c r="L19" s="56"/>
      <c r="M19" s="56"/>
      <c r="N19" s="56"/>
      <c r="O19" s="62"/>
    </row>
    <row r="20" spans="1:15" x14ac:dyDescent="0.3">
      <c r="A20" s="85">
        <v>23</v>
      </c>
      <c r="B20" s="694" t="s">
        <v>159</v>
      </c>
      <c r="C20" s="20" t="s">
        <v>378</v>
      </c>
      <c r="D20" s="289">
        <v>0.04</v>
      </c>
      <c r="E20" s="20" t="s">
        <v>161</v>
      </c>
      <c r="F20" s="796">
        <v>6.8</v>
      </c>
      <c r="G20" s="694" t="s">
        <v>379</v>
      </c>
      <c r="H20" s="693">
        <v>3</v>
      </c>
      <c r="I20" s="289">
        <f>IF(H20="",D20*F20,D20*F20*H20)</f>
        <v>0.81600000000000006</v>
      </c>
      <c r="J20" s="56"/>
      <c r="K20" s="56"/>
      <c r="L20" s="56"/>
      <c r="M20" s="56"/>
      <c r="N20" s="56"/>
      <c r="O20" s="62"/>
    </row>
    <row r="21" spans="1:15" x14ac:dyDescent="0.3">
      <c r="A21" s="20">
        <v>30</v>
      </c>
      <c r="B21" s="695" t="s">
        <v>381</v>
      </c>
      <c r="C21" s="20" t="s">
        <v>378</v>
      </c>
      <c r="D21" s="289">
        <v>0.35</v>
      </c>
      <c r="E21" s="20" t="s">
        <v>271</v>
      </c>
      <c r="F21" s="796">
        <v>2</v>
      </c>
      <c r="G21" s="694"/>
      <c r="H21" s="797"/>
      <c r="I21" s="690">
        <f>IF(H21="",D21*F21,D21*F21*H21)</f>
        <v>0.7</v>
      </c>
      <c r="J21" s="56"/>
      <c r="K21" s="56"/>
      <c r="L21" s="56"/>
      <c r="M21" s="56"/>
      <c r="N21" s="56"/>
      <c r="O21" s="62"/>
    </row>
    <row r="22" spans="1:15" x14ac:dyDescent="0.3">
      <c r="A22" s="67"/>
      <c r="B22" s="24"/>
      <c r="C22" s="24"/>
      <c r="D22" s="24"/>
      <c r="E22" s="24"/>
      <c r="F22" s="24"/>
      <c r="G22" s="24"/>
      <c r="H22" s="111" t="s">
        <v>18</v>
      </c>
      <c r="I22" s="109">
        <f>SUM(I15:I21)</f>
        <v>5.5368000000000004</v>
      </c>
      <c r="J22" s="24"/>
      <c r="K22" s="24"/>
      <c r="L22" s="24"/>
      <c r="M22" s="24"/>
      <c r="N22" s="24"/>
      <c r="O22" s="62"/>
    </row>
    <row r="23" spans="1:15" ht="15" thickBot="1" x14ac:dyDescent="0.35">
      <c r="A23" s="69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1"/>
    </row>
  </sheetData>
  <hyperlinks>
    <hyperlink ref="B4" location="SU_A0700" display="SU_A0700"/>
    <hyperlink ref="E3" location="dSU_07001" display="Drawing"/>
    <hyperlink ref="B6" location="SU_A0500" display="SU 510_001"/>
    <hyperlink ref="G2" location="SU_A07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3" max="16383" man="1"/>
    <brk id="57" max="16383" man="1"/>
  </rowBreaks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287" t="s">
        <v>439</v>
      </c>
    </row>
  </sheetData>
  <hyperlinks>
    <hyperlink ref="B1" location="SU_07001" display="SU_07001"/>
  </hyperlinks>
  <pageMargins left="0.7" right="0.7" top="0.75" bottom="0.75" header="0.3" footer="0.3"/>
  <pageSetup paperSize="9" fitToHeight="0" orientation="portrait" r:id="rId1"/>
  <drawing r:id="rId2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3"/>
  <sheetViews>
    <sheetView zoomScale="75" zoomScaleNormal="75" zoomScaleSheetLayoutView="80" workbookViewId="0">
      <selection activeCell="E2" sqref="E2"/>
    </sheetView>
  </sheetViews>
  <sheetFormatPr baseColWidth="10" defaultColWidth="9.109375" defaultRowHeight="14.4" x14ac:dyDescent="0.3"/>
  <cols>
    <col min="2" max="2" width="35.21875" customWidth="1"/>
    <col min="3" max="3" width="45.8867187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SU_A0800_pa+SU_A0800_m+SU_A0800_p+SU_A0800_f+SU_A0800_t</f>
        <v>15.066700055803517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442</v>
      </c>
      <c r="C4" s="721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443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N2*SU_A0800_q</f>
        <v>30.133400111607035</v>
      </c>
      <c r="O5" s="62"/>
    </row>
    <row r="6" spans="1:15" x14ac:dyDescent="0.3">
      <c r="A6" s="98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16" t="s">
        <v>444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50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688">
        <v>10</v>
      </c>
      <c r="B10" s="725" t="s">
        <v>385</v>
      </c>
      <c r="C10" s="289">
        <f>'SU 08001'!N2</f>
        <v>1.3710986506763019</v>
      </c>
      <c r="D10" s="851">
        <f>SU_08001_q</f>
        <v>2</v>
      </c>
      <c r="E10" s="289">
        <f>C10*D10</f>
        <v>2.7421973013526038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88">
        <v>20</v>
      </c>
      <c r="B11" s="728" t="s">
        <v>387</v>
      </c>
      <c r="C11" s="289">
        <f>'SU 08002'!N2</f>
        <v>2.0644187499999997</v>
      </c>
      <c r="D11" s="851">
        <f>SU_08002_q</f>
        <v>2</v>
      </c>
      <c r="E11" s="289">
        <f>C11*D11</f>
        <v>4.1288374999999995</v>
      </c>
      <c r="F11" s="57"/>
      <c r="G11" s="57"/>
      <c r="H11" s="57"/>
      <c r="I11" s="57"/>
      <c r="J11" s="57"/>
      <c r="K11" s="57"/>
      <c r="L11" s="57"/>
      <c r="M11" s="57"/>
      <c r="N11" s="57"/>
      <c r="O11" s="64"/>
    </row>
    <row r="12" spans="1:15" x14ac:dyDescent="0.3">
      <c r="A12" s="799">
        <v>30</v>
      </c>
      <c r="B12" s="725" t="s">
        <v>441</v>
      </c>
      <c r="C12" s="289">
        <f>'SU 08003'!N2</f>
        <v>3.3779399999999997</v>
      </c>
      <c r="D12" s="851">
        <f>SU_08003_q</f>
        <v>1</v>
      </c>
      <c r="E12" s="289">
        <f>C12*D12</f>
        <v>3.3779399999999997</v>
      </c>
    </row>
    <row r="13" spans="1:15" x14ac:dyDescent="0.3">
      <c r="A13" s="63"/>
      <c r="B13" s="56"/>
      <c r="C13" s="56"/>
      <c r="D13" s="265" t="s">
        <v>18</v>
      </c>
      <c r="E13" s="244">
        <f>SUM(E10:E12)</f>
        <v>10.248974801352603</v>
      </c>
      <c r="F13" s="57"/>
      <c r="G13" s="57"/>
      <c r="H13" s="57"/>
      <c r="I13" s="57"/>
      <c r="J13" s="57"/>
      <c r="K13" s="57"/>
      <c r="L13" s="57"/>
      <c r="M13" s="57"/>
      <c r="N13" s="57"/>
      <c r="O13" s="62"/>
    </row>
    <row r="14" spans="1:15" x14ac:dyDescent="0.3">
      <c r="A14" s="63"/>
      <c r="B14" s="56"/>
      <c r="C14" s="56"/>
      <c r="D14" s="56"/>
      <c r="E14" s="56"/>
      <c r="F14" s="56"/>
      <c r="G14" s="56"/>
      <c r="H14" s="56"/>
      <c r="I14" s="56"/>
      <c r="J14" s="56"/>
      <c r="K14" s="56"/>
      <c r="L14" s="56"/>
      <c r="M14" s="56"/>
      <c r="N14" s="56"/>
      <c r="O14" s="62"/>
    </row>
    <row r="15" spans="1:15" x14ac:dyDescent="0.3">
      <c r="A15" s="98" t="s">
        <v>14</v>
      </c>
      <c r="B15" s="98" t="s">
        <v>19</v>
      </c>
      <c r="C15" s="98" t="s">
        <v>20</v>
      </c>
      <c r="D15" s="98" t="s">
        <v>21</v>
      </c>
      <c r="E15" s="98" t="s">
        <v>22</v>
      </c>
      <c r="F15" s="98" t="s">
        <v>23</v>
      </c>
      <c r="G15" s="98" t="s">
        <v>24</v>
      </c>
      <c r="H15" s="98" t="s">
        <v>25</v>
      </c>
      <c r="I15" s="98" t="s">
        <v>26</v>
      </c>
      <c r="J15" s="98" t="s">
        <v>27</v>
      </c>
      <c r="K15" s="98" t="s">
        <v>28</v>
      </c>
      <c r="L15" s="98" t="s">
        <v>29</v>
      </c>
      <c r="M15" s="98" t="s">
        <v>17</v>
      </c>
      <c r="N15" s="98" t="s">
        <v>18</v>
      </c>
      <c r="O15" s="62"/>
    </row>
    <row r="16" spans="1:15" x14ac:dyDescent="0.3">
      <c r="A16" s="72">
        <v>10</v>
      </c>
      <c r="B16" s="72" t="s">
        <v>350</v>
      </c>
      <c r="C16" s="72" t="s">
        <v>392</v>
      </c>
      <c r="D16" s="74">
        <v>10</v>
      </c>
      <c r="E16" s="72">
        <v>5.0000000000000001E-3</v>
      </c>
      <c r="F16" s="72" t="s">
        <v>276</v>
      </c>
      <c r="G16" s="72"/>
      <c r="H16" s="75"/>
      <c r="I16" s="76"/>
      <c r="J16" s="77"/>
      <c r="K16" s="75"/>
      <c r="L16" s="75"/>
      <c r="M16" s="852">
        <v>2</v>
      </c>
      <c r="N16" s="74">
        <f>M16*D16*E16</f>
        <v>0.1</v>
      </c>
      <c r="O16" s="62"/>
    </row>
    <row r="17" spans="1:15" s="22" customFormat="1" x14ac:dyDescent="0.3">
      <c r="A17" s="72">
        <v>20</v>
      </c>
      <c r="B17" s="72" t="s">
        <v>350</v>
      </c>
      <c r="C17" s="732" t="s">
        <v>393</v>
      </c>
      <c r="D17" s="74">
        <v>10</v>
      </c>
      <c r="E17" s="733">
        <v>5.0000000000000001E-3</v>
      </c>
      <c r="F17" s="733" t="s">
        <v>276</v>
      </c>
      <c r="G17" s="733"/>
      <c r="H17" s="75"/>
      <c r="I17" s="734"/>
      <c r="J17" s="97"/>
      <c r="K17" s="78"/>
      <c r="L17" s="79"/>
      <c r="M17" s="852">
        <v>2</v>
      </c>
      <c r="N17" s="74">
        <f>M17*D17*E17</f>
        <v>0.1</v>
      </c>
      <c r="O17" s="66"/>
    </row>
    <row r="18" spans="1:15" x14ac:dyDescent="0.3">
      <c r="A18" s="67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98" t="s">
        <v>18</v>
      </c>
      <c r="N18" s="100">
        <f>SUM(N16:N17)</f>
        <v>0.2</v>
      </c>
      <c r="O18" s="62"/>
    </row>
    <row r="19" spans="1:15" x14ac:dyDescent="0.3">
      <c r="A19" s="63"/>
      <c r="B19" s="56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6"/>
      <c r="N19" s="56"/>
      <c r="O19" s="62"/>
    </row>
    <row r="20" spans="1:15" s="25" customFormat="1" x14ac:dyDescent="0.3">
      <c r="A20" s="98" t="s">
        <v>14</v>
      </c>
      <c r="B20" s="98" t="s">
        <v>31</v>
      </c>
      <c r="C20" s="98" t="s">
        <v>20</v>
      </c>
      <c r="D20" s="98" t="s">
        <v>21</v>
      </c>
      <c r="E20" s="98" t="s">
        <v>32</v>
      </c>
      <c r="F20" s="98" t="s">
        <v>17</v>
      </c>
      <c r="G20" s="98" t="s">
        <v>33</v>
      </c>
      <c r="H20" s="98" t="s">
        <v>34</v>
      </c>
      <c r="I20" s="98" t="s">
        <v>18</v>
      </c>
      <c r="J20" s="24"/>
      <c r="K20" s="24"/>
      <c r="L20" s="24"/>
      <c r="M20" s="24"/>
      <c r="N20" s="24"/>
      <c r="O20" s="68"/>
    </row>
    <row r="21" spans="1:15" x14ac:dyDescent="0.3">
      <c r="A21" s="72">
        <v>10</v>
      </c>
      <c r="B21" s="72" t="s">
        <v>231</v>
      </c>
      <c r="C21" s="72" t="s">
        <v>394</v>
      </c>
      <c r="D21" s="74">
        <v>0.15</v>
      </c>
      <c r="E21" s="72" t="s">
        <v>40</v>
      </c>
      <c r="F21" s="738">
        <f>11.5*2</f>
        <v>23</v>
      </c>
      <c r="G21" s="738"/>
      <c r="H21" s="738"/>
      <c r="I21" s="74">
        <f t="shared" ref="I21:I30" si="0">IF(H21="",D21*F21,D21*F21*H21)</f>
        <v>3.4499999999999997</v>
      </c>
      <c r="J21" s="56"/>
      <c r="K21" s="56"/>
      <c r="L21" s="56"/>
      <c r="M21" s="56"/>
      <c r="N21" s="56"/>
      <c r="O21" s="62"/>
    </row>
    <row r="22" spans="1:15" x14ac:dyDescent="0.3">
      <c r="A22" s="72">
        <v>20</v>
      </c>
      <c r="B22" s="739" t="s">
        <v>354</v>
      </c>
      <c r="C22" s="72" t="s">
        <v>395</v>
      </c>
      <c r="D22" s="74">
        <v>5.25</v>
      </c>
      <c r="E22" s="739" t="s">
        <v>276</v>
      </c>
      <c r="F22" s="738">
        <v>5.0000000000000001E-3</v>
      </c>
      <c r="G22" s="72"/>
      <c r="H22" s="72"/>
      <c r="I22" s="74">
        <f t="shared" si="0"/>
        <v>2.6249999999999999E-2</v>
      </c>
      <c r="J22" s="56"/>
      <c r="K22" s="56"/>
      <c r="L22" s="56"/>
      <c r="M22" s="56"/>
      <c r="N22" s="56"/>
      <c r="O22" s="62"/>
    </row>
    <row r="23" spans="1:15" x14ac:dyDescent="0.3">
      <c r="A23" s="72">
        <v>30</v>
      </c>
      <c r="B23" s="739" t="s">
        <v>354</v>
      </c>
      <c r="C23" s="72" t="s">
        <v>396</v>
      </c>
      <c r="D23" s="74">
        <v>5.25</v>
      </c>
      <c r="E23" s="72" t="s">
        <v>276</v>
      </c>
      <c r="F23" s="738">
        <v>5.0000000000000001E-3</v>
      </c>
      <c r="G23" s="72"/>
      <c r="H23" s="72"/>
      <c r="I23" s="74">
        <f t="shared" si="0"/>
        <v>2.6249999999999999E-2</v>
      </c>
      <c r="J23" s="56"/>
      <c r="K23" s="56"/>
      <c r="L23" s="56"/>
      <c r="M23" s="56"/>
      <c r="N23" s="56"/>
      <c r="O23" s="62"/>
    </row>
    <row r="24" spans="1:15" s="17" customFormat="1" x14ac:dyDescent="0.3">
      <c r="A24" s="72">
        <v>40</v>
      </c>
      <c r="B24" s="739" t="s">
        <v>225</v>
      </c>
      <c r="C24" s="72" t="s">
        <v>445</v>
      </c>
      <c r="D24" s="74">
        <v>0.06</v>
      </c>
      <c r="E24" s="72" t="s">
        <v>35</v>
      </c>
      <c r="F24" s="738">
        <v>2</v>
      </c>
      <c r="G24" s="72"/>
      <c r="H24" s="72"/>
      <c r="I24" s="74">
        <f t="shared" si="0"/>
        <v>0.12</v>
      </c>
      <c r="J24" s="57"/>
      <c r="K24" s="57"/>
      <c r="L24" s="57"/>
      <c r="M24" s="57"/>
      <c r="N24" s="57"/>
      <c r="O24" s="65"/>
    </row>
    <row r="25" spans="1:15" s="25" customFormat="1" x14ac:dyDescent="0.3">
      <c r="A25" s="72">
        <v>50</v>
      </c>
      <c r="B25" s="739" t="s">
        <v>225</v>
      </c>
      <c r="C25" s="72" t="s">
        <v>446</v>
      </c>
      <c r="D25" s="74">
        <v>0.06</v>
      </c>
      <c r="E25" s="72" t="s">
        <v>35</v>
      </c>
      <c r="F25" s="738">
        <v>2</v>
      </c>
      <c r="G25" s="738"/>
      <c r="H25" s="738"/>
      <c r="I25" s="74">
        <f t="shared" si="0"/>
        <v>0.12</v>
      </c>
      <c r="J25" s="57"/>
      <c r="K25" s="57"/>
      <c r="L25" s="57"/>
      <c r="M25" s="57"/>
      <c r="N25" s="57"/>
      <c r="O25" s="68"/>
    </row>
    <row r="26" spans="1:15" s="17" customFormat="1" ht="14.4" customHeight="1" x14ac:dyDescent="0.3">
      <c r="A26" s="238">
        <v>60</v>
      </c>
      <c r="B26" s="742" t="s">
        <v>225</v>
      </c>
      <c r="C26" s="742" t="s">
        <v>399</v>
      </c>
      <c r="D26" s="74">
        <v>0.06</v>
      </c>
      <c r="E26" s="742" t="s">
        <v>35</v>
      </c>
      <c r="F26" s="743">
        <v>2</v>
      </c>
      <c r="G26" s="238"/>
      <c r="H26" s="72"/>
      <c r="I26" s="74">
        <f t="shared" si="0"/>
        <v>0.12</v>
      </c>
      <c r="J26" s="57"/>
      <c r="K26" s="57"/>
      <c r="L26" s="57"/>
      <c r="M26" s="57"/>
      <c r="N26" s="57"/>
      <c r="O26" s="65"/>
    </row>
    <row r="27" spans="1:15" s="17" customFormat="1" ht="14.4" customHeight="1" x14ac:dyDescent="0.3">
      <c r="A27" s="688">
        <v>70</v>
      </c>
      <c r="B27" s="744" t="s">
        <v>363</v>
      </c>
      <c r="C27" s="800" t="s">
        <v>400</v>
      </c>
      <c r="D27" s="289">
        <v>0.12</v>
      </c>
      <c r="E27" s="27" t="s">
        <v>35</v>
      </c>
      <c r="F27" s="26">
        <v>1</v>
      </c>
      <c r="G27" s="688"/>
      <c r="H27" s="745"/>
      <c r="I27" s="74">
        <f t="shared" si="0"/>
        <v>0.12</v>
      </c>
      <c r="J27" s="57"/>
      <c r="K27" s="57"/>
      <c r="L27" s="57"/>
      <c r="M27" s="57"/>
      <c r="N27" s="57"/>
      <c r="O27" s="65"/>
    </row>
    <row r="28" spans="1:15" s="17" customFormat="1" ht="14.4" customHeight="1" x14ac:dyDescent="0.3">
      <c r="A28" s="688">
        <v>80</v>
      </c>
      <c r="B28" s="744" t="s">
        <v>363</v>
      </c>
      <c r="C28" s="801" t="s">
        <v>401</v>
      </c>
      <c r="D28" s="289">
        <v>0.12</v>
      </c>
      <c r="E28" s="27" t="s">
        <v>35</v>
      </c>
      <c r="F28" s="26">
        <v>1</v>
      </c>
      <c r="G28" s="688"/>
      <c r="H28" s="745"/>
      <c r="I28" s="74">
        <f t="shared" si="0"/>
        <v>0.12</v>
      </c>
      <c r="J28" s="57"/>
      <c r="K28" s="57"/>
      <c r="L28" s="57"/>
      <c r="M28" s="57"/>
      <c r="N28" s="57"/>
      <c r="O28" s="65"/>
    </row>
    <row r="29" spans="1:15" s="17" customFormat="1" ht="14.4" customHeight="1" x14ac:dyDescent="0.3">
      <c r="A29" s="688">
        <v>90</v>
      </c>
      <c r="B29" s="744" t="s">
        <v>366</v>
      </c>
      <c r="C29" s="801" t="s">
        <v>367</v>
      </c>
      <c r="D29" s="289">
        <v>0.75</v>
      </c>
      <c r="E29" s="27" t="s">
        <v>35</v>
      </c>
      <c r="F29" s="26">
        <v>1</v>
      </c>
      <c r="G29" s="688"/>
      <c r="H29" s="745"/>
      <c r="I29" s="74">
        <f t="shared" si="0"/>
        <v>0.75</v>
      </c>
      <c r="J29" s="57"/>
      <c r="K29" s="57"/>
      <c r="L29" s="57"/>
      <c r="M29" s="57"/>
      <c r="N29" s="57"/>
      <c r="O29" s="65"/>
    </row>
    <row r="30" spans="1:15" s="17" customFormat="1" ht="14.4" customHeight="1" x14ac:dyDescent="0.3">
      <c r="A30" s="688">
        <v>100</v>
      </c>
      <c r="B30" s="744" t="s">
        <v>368</v>
      </c>
      <c r="C30" s="801" t="s">
        <v>367</v>
      </c>
      <c r="D30" s="289">
        <v>0.25</v>
      </c>
      <c r="E30" s="27" t="s">
        <v>35</v>
      </c>
      <c r="F30" s="26">
        <v>1</v>
      </c>
      <c r="G30" s="688"/>
      <c r="H30" s="745"/>
      <c r="I30" s="74">
        <f t="shared" si="0"/>
        <v>0.25</v>
      </c>
      <c r="J30" s="57"/>
      <c r="K30" s="57"/>
      <c r="L30" s="57"/>
      <c r="M30" s="57"/>
      <c r="N30" s="57"/>
      <c r="O30" s="65"/>
    </row>
    <row r="31" spans="1:15" x14ac:dyDescent="0.3">
      <c r="A31" s="67"/>
      <c r="B31" s="24"/>
      <c r="C31" s="24"/>
      <c r="D31" s="24"/>
      <c r="E31" s="24"/>
      <c r="F31" s="24"/>
      <c r="G31" s="24"/>
      <c r="H31" s="101" t="s">
        <v>18</v>
      </c>
      <c r="I31" s="100">
        <f>SUM(I21:I23)</f>
        <v>3.5024999999999999</v>
      </c>
      <c r="J31" s="56"/>
      <c r="K31" s="56"/>
      <c r="L31" s="56"/>
      <c r="M31" s="56"/>
      <c r="N31" s="56"/>
      <c r="O31" s="62"/>
    </row>
    <row r="32" spans="1:15" x14ac:dyDescent="0.3">
      <c r="A32" s="63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56"/>
      <c r="O32" s="62"/>
    </row>
    <row r="33" spans="1:15" x14ac:dyDescent="0.3">
      <c r="A33" s="98" t="s">
        <v>14</v>
      </c>
      <c r="B33" s="98" t="s">
        <v>36</v>
      </c>
      <c r="C33" s="98" t="s">
        <v>20</v>
      </c>
      <c r="D33" s="98" t="s">
        <v>21</v>
      </c>
      <c r="E33" s="98" t="s">
        <v>22</v>
      </c>
      <c r="F33" s="98" t="s">
        <v>23</v>
      </c>
      <c r="G33" s="98" t="s">
        <v>24</v>
      </c>
      <c r="H33" s="98" t="s">
        <v>25</v>
      </c>
      <c r="I33" s="98" t="s">
        <v>17</v>
      </c>
      <c r="J33" s="98" t="s">
        <v>18</v>
      </c>
      <c r="K33" s="56"/>
      <c r="L33" s="56"/>
      <c r="M33" s="56"/>
      <c r="N33" s="56"/>
      <c r="O33" s="62"/>
    </row>
    <row r="34" spans="1:15" x14ac:dyDescent="0.3">
      <c r="A34" s="72">
        <v>10</v>
      </c>
      <c r="B34" s="72" t="s">
        <v>369</v>
      </c>
      <c r="C34" s="72" t="s">
        <v>402</v>
      </c>
      <c r="D34" s="676">
        <f>0.8/105154*E34^2*G34*SQRT(G34)+0.003*EXP(0.319*E34)</f>
        <v>6.5344202146287819E-2</v>
      </c>
      <c r="E34" s="677">
        <v>6</v>
      </c>
      <c r="F34" s="677" t="s">
        <v>30</v>
      </c>
      <c r="G34" s="677">
        <v>30</v>
      </c>
      <c r="H34" s="677" t="s">
        <v>30</v>
      </c>
      <c r="I34" s="82">
        <v>1</v>
      </c>
      <c r="J34" s="74">
        <f>D34*I34</f>
        <v>6.5344202146287819E-2</v>
      </c>
      <c r="K34" s="56"/>
      <c r="L34" s="56"/>
      <c r="M34" s="56"/>
      <c r="N34" s="56"/>
      <c r="O34" s="62"/>
    </row>
    <row r="35" spans="1:15" x14ac:dyDescent="0.3">
      <c r="A35" s="72">
        <v>20</v>
      </c>
      <c r="B35" s="72" t="s">
        <v>371</v>
      </c>
      <c r="C35" s="72" t="s">
        <v>402</v>
      </c>
      <c r="D35" s="676">
        <v>0.01</v>
      </c>
      <c r="E35" s="72"/>
      <c r="F35" s="678" t="s">
        <v>35</v>
      </c>
      <c r="G35" s="72"/>
      <c r="H35" s="72"/>
      <c r="I35" s="82">
        <v>2</v>
      </c>
      <c r="J35" s="74">
        <f>I35*D35</f>
        <v>0.02</v>
      </c>
      <c r="K35" s="56"/>
      <c r="L35" s="56"/>
      <c r="M35" s="56"/>
      <c r="N35" s="56"/>
      <c r="O35" s="62"/>
    </row>
    <row r="36" spans="1:15" x14ac:dyDescent="0.3">
      <c r="A36" s="72">
        <v>30</v>
      </c>
      <c r="B36" s="72" t="s">
        <v>372</v>
      </c>
      <c r="C36" s="72" t="s">
        <v>402</v>
      </c>
      <c r="D36" s="676">
        <f>0.009*EXP(0.2*E36)</f>
        <v>2.9881052304628931E-2</v>
      </c>
      <c r="E36" s="72">
        <v>6</v>
      </c>
      <c r="F36" s="678" t="s">
        <v>30</v>
      </c>
      <c r="G36" s="72"/>
      <c r="H36" s="72"/>
      <c r="I36" s="82">
        <v>1</v>
      </c>
      <c r="J36" s="74">
        <f>D36*I36</f>
        <v>2.9881052304628931E-2</v>
      </c>
      <c r="K36" s="56"/>
      <c r="L36" s="56"/>
      <c r="M36" s="56"/>
      <c r="N36" s="56"/>
      <c r="O36" s="62"/>
    </row>
    <row r="37" spans="1:15" x14ac:dyDescent="0.3">
      <c r="A37" s="67"/>
      <c r="B37" s="24"/>
      <c r="C37" s="24"/>
      <c r="D37" s="24"/>
      <c r="E37" s="24"/>
      <c r="F37" s="24"/>
      <c r="G37" s="24"/>
      <c r="H37" s="24"/>
      <c r="I37" s="101" t="s">
        <v>18</v>
      </c>
      <c r="J37" s="100">
        <f>SUM(J34:J36)</f>
        <v>0.11522525445091675</v>
      </c>
      <c r="K37" s="56"/>
      <c r="L37" s="56"/>
      <c r="M37" s="56"/>
      <c r="N37" s="56"/>
      <c r="O37" s="62"/>
    </row>
    <row r="38" spans="1:15" x14ac:dyDescent="0.3">
      <c r="A38" s="63"/>
      <c r="B38" s="56"/>
      <c r="C38" s="56"/>
      <c r="D38" s="56"/>
      <c r="E38" s="56"/>
      <c r="F38" s="56"/>
      <c r="G38" s="56"/>
      <c r="H38" s="56"/>
      <c r="I38" s="56"/>
      <c r="J38" s="56"/>
      <c r="K38" s="56"/>
      <c r="L38" s="56"/>
      <c r="M38" s="56"/>
      <c r="N38" s="56"/>
      <c r="O38" s="62"/>
    </row>
    <row r="39" spans="1:15" x14ac:dyDescent="0.3">
      <c r="A39" s="98" t="s">
        <v>14</v>
      </c>
      <c r="B39" s="98" t="s">
        <v>250</v>
      </c>
      <c r="C39" s="98" t="s">
        <v>20</v>
      </c>
      <c r="D39" s="98" t="s">
        <v>21</v>
      </c>
      <c r="E39" s="98" t="s">
        <v>32</v>
      </c>
      <c r="F39" s="98" t="s">
        <v>17</v>
      </c>
      <c r="G39" s="98" t="s">
        <v>251</v>
      </c>
      <c r="H39" s="98" t="s">
        <v>252</v>
      </c>
      <c r="I39" s="98" t="s">
        <v>18</v>
      </c>
      <c r="J39" s="24"/>
      <c r="K39" s="56"/>
      <c r="L39" s="56"/>
      <c r="M39" s="56"/>
      <c r="N39" s="56"/>
      <c r="O39" s="62"/>
    </row>
    <row r="40" spans="1:15" x14ac:dyDescent="0.3">
      <c r="A40" s="72">
        <v>10</v>
      </c>
      <c r="B40" s="72" t="s">
        <v>253</v>
      </c>
      <c r="C40" s="72" t="s">
        <v>403</v>
      </c>
      <c r="D40" s="74">
        <v>500</v>
      </c>
      <c r="E40" s="72" t="s">
        <v>255</v>
      </c>
      <c r="F40" s="72">
        <v>6</v>
      </c>
      <c r="G40" s="72">
        <v>3000</v>
      </c>
      <c r="H40" s="72">
        <v>1</v>
      </c>
      <c r="I40" s="74">
        <f>D40*F40/G40*H40</f>
        <v>1</v>
      </c>
      <c r="J40" s="24"/>
      <c r="K40" s="56"/>
      <c r="L40" s="56"/>
      <c r="M40" s="56"/>
      <c r="N40" s="56"/>
      <c r="O40" s="62"/>
    </row>
    <row r="41" spans="1:15" x14ac:dyDescent="0.3">
      <c r="A41" s="67"/>
      <c r="B41" s="24"/>
      <c r="C41" s="24"/>
      <c r="D41" s="24"/>
      <c r="E41" s="24"/>
      <c r="F41" s="24"/>
      <c r="G41" s="24"/>
      <c r="H41" s="265" t="s">
        <v>18</v>
      </c>
      <c r="I41" s="244">
        <f>SUM(I40:I40)</f>
        <v>1</v>
      </c>
      <c r="J41" s="24"/>
      <c r="K41" s="56"/>
      <c r="L41" s="56"/>
      <c r="M41" s="56"/>
      <c r="N41" s="56"/>
      <c r="O41" s="62"/>
    </row>
    <row r="42" spans="1:15" ht="15" thickBot="1" x14ac:dyDescent="0.35">
      <c r="A42" s="69"/>
      <c r="B42" s="70"/>
      <c r="C42" s="70"/>
      <c r="D42" s="70"/>
      <c r="E42" s="70"/>
      <c r="F42" s="70"/>
      <c r="G42" s="70"/>
      <c r="H42" s="70"/>
      <c r="I42" s="70"/>
      <c r="J42" s="70"/>
      <c r="K42" s="70"/>
      <c r="L42" s="70"/>
      <c r="M42" s="70"/>
      <c r="N42" s="70"/>
      <c r="O42" s="71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</sheetData>
  <hyperlinks>
    <hyperlink ref="B10" location="SU_08001" display="Rocker bushing"/>
    <hyperlink ref="B11" location="SU_08002" display="Sheets of metal for rocker"/>
    <hyperlink ref="B12" location="SU_08003" display="Rear rocker mount"/>
    <hyperlink ref="E2" location="SU_A08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2" max="16383" man="1"/>
  </rowBreaks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2</DocSecurity>
  <ScaleCrop>false</ScaleCrop>
  <HeadingPairs>
    <vt:vector size="4" baseType="variant">
      <vt:variant>
        <vt:lpstr>Feuilles de calcul</vt:lpstr>
      </vt:variant>
      <vt:variant>
        <vt:i4>122</vt:i4>
      </vt:variant>
      <vt:variant>
        <vt:lpstr>Plages nommées</vt:lpstr>
      </vt:variant>
      <vt:variant>
        <vt:i4>373</vt:i4>
      </vt:variant>
    </vt:vector>
  </HeadingPairs>
  <TitlesOfParts>
    <vt:vector size="495" baseType="lpstr">
      <vt:lpstr>Instructions</vt:lpstr>
      <vt:lpstr>BOM</vt:lpstr>
      <vt:lpstr>SU A0100</vt:lpstr>
      <vt:lpstr>SU 01001</vt:lpstr>
      <vt:lpstr>dSU 01001</vt:lpstr>
      <vt:lpstr>SU 01002</vt:lpstr>
      <vt:lpstr>dSU 01002</vt:lpstr>
      <vt:lpstr>SU 01003</vt:lpstr>
      <vt:lpstr>SU 01004</vt:lpstr>
      <vt:lpstr>SU 01005</vt:lpstr>
      <vt:lpstr>dSU 01005</vt:lpstr>
      <vt:lpstr>SU 01006</vt:lpstr>
      <vt:lpstr>dSU 01006</vt:lpstr>
      <vt:lpstr>SU 01007</vt:lpstr>
      <vt:lpstr>dSU 01007</vt:lpstr>
      <vt:lpstr>SU 01008</vt:lpstr>
      <vt:lpstr>dSU 01008</vt:lpstr>
      <vt:lpstr>SU 01009</vt:lpstr>
      <vt:lpstr>dSU 01009</vt:lpstr>
      <vt:lpstr>SU 01010</vt:lpstr>
      <vt:lpstr>dSU 01010</vt:lpstr>
      <vt:lpstr>SU 01011</vt:lpstr>
      <vt:lpstr>dSU 01011</vt:lpstr>
      <vt:lpstr>SU A0200</vt:lpstr>
      <vt:lpstr>SU 02001</vt:lpstr>
      <vt:lpstr>dSU 02001</vt:lpstr>
      <vt:lpstr>SU 02002</vt:lpstr>
      <vt:lpstr>dSU 02002</vt:lpstr>
      <vt:lpstr>SU 02003</vt:lpstr>
      <vt:lpstr>SU 02004</vt:lpstr>
      <vt:lpstr>SU 02005</vt:lpstr>
      <vt:lpstr>dSU 02005</vt:lpstr>
      <vt:lpstr>SU 02006</vt:lpstr>
      <vt:lpstr>dSU 02006</vt:lpstr>
      <vt:lpstr>SU 02007</vt:lpstr>
      <vt:lpstr>dSU 02007</vt:lpstr>
      <vt:lpstr>SU 02008</vt:lpstr>
      <vt:lpstr>dSU 02008</vt:lpstr>
      <vt:lpstr>SU 02009</vt:lpstr>
      <vt:lpstr>dSU 02009</vt:lpstr>
      <vt:lpstr>SU 02010</vt:lpstr>
      <vt:lpstr>dSU 02010</vt:lpstr>
      <vt:lpstr>SU 02011</vt:lpstr>
      <vt:lpstr>dSU 02011</vt:lpstr>
      <vt:lpstr>SU A0300</vt:lpstr>
      <vt:lpstr>SU 03001</vt:lpstr>
      <vt:lpstr>dSU 03001</vt:lpstr>
      <vt:lpstr>SU 03002</vt:lpstr>
      <vt:lpstr>dSU 03002</vt:lpstr>
      <vt:lpstr>SU 03003</vt:lpstr>
      <vt:lpstr>SU 03004</vt:lpstr>
      <vt:lpstr>SU 03005</vt:lpstr>
      <vt:lpstr>dSU 03005</vt:lpstr>
      <vt:lpstr>SU 03006</vt:lpstr>
      <vt:lpstr>dSU 03006</vt:lpstr>
      <vt:lpstr>SU 03007</vt:lpstr>
      <vt:lpstr>dSU 03007</vt:lpstr>
      <vt:lpstr>SU 03008</vt:lpstr>
      <vt:lpstr>dSU 03008</vt:lpstr>
      <vt:lpstr>SU 03009</vt:lpstr>
      <vt:lpstr>dSU 03009</vt:lpstr>
      <vt:lpstr>SU 03010</vt:lpstr>
      <vt:lpstr>dSU 03010</vt:lpstr>
      <vt:lpstr>SU 03011</vt:lpstr>
      <vt:lpstr>dSU 03011</vt:lpstr>
      <vt:lpstr>SU A0400</vt:lpstr>
      <vt:lpstr>SU 04001</vt:lpstr>
      <vt:lpstr>dSU 04001</vt:lpstr>
      <vt:lpstr>SU 04002</vt:lpstr>
      <vt:lpstr>dSU 04002</vt:lpstr>
      <vt:lpstr>SU 04003</vt:lpstr>
      <vt:lpstr>SU 04004</vt:lpstr>
      <vt:lpstr>SU 04005</vt:lpstr>
      <vt:lpstr>dSU 04005</vt:lpstr>
      <vt:lpstr>SU 04006</vt:lpstr>
      <vt:lpstr>dSU 04006</vt:lpstr>
      <vt:lpstr>SU 04007</vt:lpstr>
      <vt:lpstr>dSU 04007</vt:lpstr>
      <vt:lpstr>SU 04008</vt:lpstr>
      <vt:lpstr>dSU 04008</vt:lpstr>
      <vt:lpstr>SU 04009</vt:lpstr>
      <vt:lpstr>dSU 04009</vt:lpstr>
      <vt:lpstr>SU 04010</vt:lpstr>
      <vt:lpstr>dSU 04010</vt:lpstr>
      <vt:lpstr>SU 04011</vt:lpstr>
      <vt:lpstr>dSU 04011</vt:lpstr>
      <vt:lpstr>SU A0500</vt:lpstr>
      <vt:lpstr>SU 05001</vt:lpstr>
      <vt:lpstr>dSU 05001</vt:lpstr>
      <vt:lpstr>SU A0600</vt:lpstr>
      <vt:lpstr>SU 06001</vt:lpstr>
      <vt:lpstr>SU 06002</vt:lpstr>
      <vt:lpstr>SU 06003</vt:lpstr>
      <vt:lpstr>dSU 06003</vt:lpstr>
      <vt:lpstr>SU 06004</vt:lpstr>
      <vt:lpstr>SU A0700</vt:lpstr>
      <vt:lpstr>SU 07001</vt:lpstr>
      <vt:lpstr>dSU 07001</vt:lpstr>
      <vt:lpstr>SU A0800</vt:lpstr>
      <vt:lpstr>SU 08001</vt:lpstr>
      <vt:lpstr>SU 08002</vt:lpstr>
      <vt:lpstr>dSU 08002</vt:lpstr>
      <vt:lpstr>SU 08003</vt:lpstr>
      <vt:lpstr>SU A0900</vt:lpstr>
      <vt:lpstr>SU 09001</vt:lpstr>
      <vt:lpstr>SU 09002</vt:lpstr>
      <vt:lpstr>dSU 09002</vt:lpstr>
      <vt:lpstr>SU 09003</vt:lpstr>
      <vt:lpstr>dSU 09003</vt:lpstr>
      <vt:lpstr>SU 09004</vt:lpstr>
      <vt:lpstr>dSU 09004</vt:lpstr>
      <vt:lpstr>SU A1000</vt:lpstr>
      <vt:lpstr>SU 10001</vt:lpstr>
      <vt:lpstr>dSU 10001</vt:lpstr>
      <vt:lpstr>SU 10002</vt:lpstr>
      <vt:lpstr>dSU 10002</vt:lpstr>
      <vt:lpstr>SU 10003</vt:lpstr>
      <vt:lpstr>dSU 10003</vt:lpstr>
      <vt:lpstr>SU 10004</vt:lpstr>
      <vt:lpstr>dSU 10004</vt:lpstr>
      <vt:lpstr>SU 10005</vt:lpstr>
      <vt:lpstr>dSU 10005</vt:lpstr>
      <vt:lpstr>dSU_01001</vt:lpstr>
      <vt:lpstr>dSU_01002</vt:lpstr>
      <vt:lpstr>dSU_01005</vt:lpstr>
      <vt:lpstr>dSU_01006</vt:lpstr>
      <vt:lpstr>dSU_01007</vt:lpstr>
      <vt:lpstr>dSU_01008</vt:lpstr>
      <vt:lpstr>dSU_01009</vt:lpstr>
      <vt:lpstr>dSU_01010</vt:lpstr>
      <vt:lpstr>dSU_01011</vt:lpstr>
      <vt:lpstr>dSU_02001</vt:lpstr>
      <vt:lpstr>dSU_02002</vt:lpstr>
      <vt:lpstr>dSU_02005</vt:lpstr>
      <vt:lpstr>dSU_02006</vt:lpstr>
      <vt:lpstr>dSU_02007</vt:lpstr>
      <vt:lpstr>dSU_02008</vt:lpstr>
      <vt:lpstr>dSU_02009</vt:lpstr>
      <vt:lpstr>dSU_02010</vt:lpstr>
      <vt:lpstr>dSU_03001</vt:lpstr>
      <vt:lpstr>dSU_03002</vt:lpstr>
      <vt:lpstr>dSU_03005</vt:lpstr>
      <vt:lpstr>dSU_03006</vt:lpstr>
      <vt:lpstr>dSU_03007</vt:lpstr>
      <vt:lpstr>dSU_03008</vt:lpstr>
      <vt:lpstr>dSU_03009</vt:lpstr>
      <vt:lpstr>dSU_03010</vt:lpstr>
      <vt:lpstr>dSU_03011</vt:lpstr>
      <vt:lpstr>dSU_04001</vt:lpstr>
      <vt:lpstr>dSU_04002</vt:lpstr>
      <vt:lpstr>dSU_04005</vt:lpstr>
      <vt:lpstr>dSU_04006</vt:lpstr>
      <vt:lpstr>dSU_04007</vt:lpstr>
      <vt:lpstr>dSU_04008</vt:lpstr>
      <vt:lpstr>dSU_04009</vt:lpstr>
      <vt:lpstr>dSU_04010</vt:lpstr>
      <vt:lpstr>dSU_04011</vt:lpstr>
      <vt:lpstr>dSU_05001</vt:lpstr>
      <vt:lpstr>dSU_06003</vt:lpstr>
      <vt:lpstr>dSU_07001</vt:lpstr>
      <vt:lpstr>dSU_08002</vt:lpstr>
      <vt:lpstr>dSU_09002</vt:lpstr>
      <vt:lpstr>dSU_09003</vt:lpstr>
      <vt:lpstr>dSU_09004</vt:lpstr>
      <vt:lpstr>dSU_10001</vt:lpstr>
      <vt:lpstr>dSU_10002</vt:lpstr>
      <vt:lpstr>dSU_10003</vt:lpstr>
      <vt:lpstr>dSU_10004</vt:lpstr>
      <vt:lpstr>dSU_10005</vt:lpstr>
      <vt:lpstr>SU_01001</vt:lpstr>
      <vt:lpstr>SU_01001_m</vt:lpstr>
      <vt:lpstr>SU_01001_p</vt:lpstr>
      <vt:lpstr>SU_01001_q</vt:lpstr>
      <vt:lpstr>SU_01002</vt:lpstr>
      <vt:lpstr>SU_01002_m</vt:lpstr>
      <vt:lpstr>SU_01002_p</vt:lpstr>
      <vt:lpstr>SU_01002_q</vt:lpstr>
      <vt:lpstr>SU_01003</vt:lpstr>
      <vt:lpstr>SU_01003_m</vt:lpstr>
      <vt:lpstr>SU_01003_p</vt:lpstr>
      <vt:lpstr>SU_01003_q</vt:lpstr>
      <vt:lpstr>SU_01004</vt:lpstr>
      <vt:lpstr>SU_01004_m</vt:lpstr>
      <vt:lpstr>SU_01004_p</vt:lpstr>
      <vt:lpstr>SU_01004_q</vt:lpstr>
      <vt:lpstr>SU_01005</vt:lpstr>
      <vt:lpstr>SU_01005_m</vt:lpstr>
      <vt:lpstr>SU_01005_p</vt:lpstr>
      <vt:lpstr>SU_01005_q</vt:lpstr>
      <vt:lpstr>SU_01006</vt:lpstr>
      <vt:lpstr>SU_01006_m</vt:lpstr>
      <vt:lpstr>SU_01006_p</vt:lpstr>
      <vt:lpstr>SU_01006_q</vt:lpstr>
      <vt:lpstr>SU_01007</vt:lpstr>
      <vt:lpstr>SU_01007_m</vt:lpstr>
      <vt:lpstr>SU_01007_p</vt:lpstr>
      <vt:lpstr>SU_01007_q</vt:lpstr>
      <vt:lpstr>SU_01008</vt:lpstr>
      <vt:lpstr>SU_01008_m</vt:lpstr>
      <vt:lpstr>SU_01008_p</vt:lpstr>
      <vt:lpstr>SU_01008_q</vt:lpstr>
      <vt:lpstr>SU_01009</vt:lpstr>
      <vt:lpstr>SU_01009_m</vt:lpstr>
      <vt:lpstr>SU_01009_p</vt:lpstr>
      <vt:lpstr>SU_01009_q</vt:lpstr>
      <vt:lpstr>SU_01010</vt:lpstr>
      <vt:lpstr>SU_01010_m</vt:lpstr>
      <vt:lpstr>SU_01010_p</vt:lpstr>
      <vt:lpstr>SU_01010_q</vt:lpstr>
      <vt:lpstr>SU_01011</vt:lpstr>
      <vt:lpstr>SU_01011_m</vt:lpstr>
      <vt:lpstr>SU_01011_p</vt:lpstr>
      <vt:lpstr>SU_01011_q</vt:lpstr>
      <vt:lpstr>SU_02001</vt:lpstr>
      <vt:lpstr>SU_02001_m</vt:lpstr>
      <vt:lpstr>SU_02001_p</vt:lpstr>
      <vt:lpstr>SU_02001_q</vt:lpstr>
      <vt:lpstr>SU_02002</vt:lpstr>
      <vt:lpstr>SU_02002_m</vt:lpstr>
      <vt:lpstr>SU_02002_p</vt:lpstr>
      <vt:lpstr>SU_02002_q</vt:lpstr>
      <vt:lpstr>SU_02003</vt:lpstr>
      <vt:lpstr>SU_02003_m</vt:lpstr>
      <vt:lpstr>SU_02003_p</vt:lpstr>
      <vt:lpstr>SU_02003_q</vt:lpstr>
      <vt:lpstr>SU_02004</vt:lpstr>
      <vt:lpstr>SU_02004_m</vt:lpstr>
      <vt:lpstr>SU_02004_p</vt:lpstr>
      <vt:lpstr>SU_02004_q</vt:lpstr>
      <vt:lpstr>SU_02005</vt:lpstr>
      <vt:lpstr>SU_02005_m</vt:lpstr>
      <vt:lpstr>SU_02005_p</vt:lpstr>
      <vt:lpstr>SU_02005_q</vt:lpstr>
      <vt:lpstr>SU_02006</vt:lpstr>
      <vt:lpstr>SU_02006_m</vt:lpstr>
      <vt:lpstr>SU_02006_p</vt:lpstr>
      <vt:lpstr>SU_02006_q</vt:lpstr>
      <vt:lpstr>SU_02007</vt:lpstr>
      <vt:lpstr>SU_02007_m</vt:lpstr>
      <vt:lpstr>SU_02007_p</vt:lpstr>
      <vt:lpstr>SU_02007_q</vt:lpstr>
      <vt:lpstr>SU_02008</vt:lpstr>
      <vt:lpstr>SU_02008_m</vt:lpstr>
      <vt:lpstr>SU_02008_p</vt:lpstr>
      <vt:lpstr>SU_02008_q</vt:lpstr>
      <vt:lpstr>SU_02009</vt:lpstr>
      <vt:lpstr>SU_02009_m</vt:lpstr>
      <vt:lpstr>SU_02009_p</vt:lpstr>
      <vt:lpstr>SU_02009_q</vt:lpstr>
      <vt:lpstr>SU_02010</vt:lpstr>
      <vt:lpstr>SU_02010_m</vt:lpstr>
      <vt:lpstr>SU_02010_p</vt:lpstr>
      <vt:lpstr>SU_02010_q</vt:lpstr>
      <vt:lpstr>SU_02011</vt:lpstr>
      <vt:lpstr>SU_02011_m</vt:lpstr>
      <vt:lpstr>SU_02011_p</vt:lpstr>
      <vt:lpstr>SU_02011_q</vt:lpstr>
      <vt:lpstr>SU_03001</vt:lpstr>
      <vt:lpstr>SU_03001_m</vt:lpstr>
      <vt:lpstr>SU_03001_p</vt:lpstr>
      <vt:lpstr>SU_03001_q</vt:lpstr>
      <vt:lpstr>SU_03002</vt:lpstr>
      <vt:lpstr>SU_03002_m</vt:lpstr>
      <vt:lpstr>SU_03002_p</vt:lpstr>
      <vt:lpstr>SU_03002_q</vt:lpstr>
      <vt:lpstr>SU_03003</vt:lpstr>
      <vt:lpstr>SU_03003_m</vt:lpstr>
      <vt:lpstr>SU_03003_p</vt:lpstr>
      <vt:lpstr>SU_03003_q</vt:lpstr>
      <vt:lpstr>SU_03004</vt:lpstr>
      <vt:lpstr>SU_03004_m</vt:lpstr>
      <vt:lpstr>SU_03004_p</vt:lpstr>
      <vt:lpstr>SU_03004_q</vt:lpstr>
      <vt:lpstr>SU_03005</vt:lpstr>
      <vt:lpstr>SU_03005_m</vt:lpstr>
      <vt:lpstr>SU_03005_p</vt:lpstr>
      <vt:lpstr>SU_03005_q</vt:lpstr>
      <vt:lpstr>SU_03006</vt:lpstr>
      <vt:lpstr>SU_03006_m</vt:lpstr>
      <vt:lpstr>SU_03006_p</vt:lpstr>
      <vt:lpstr>SU_03006_q</vt:lpstr>
      <vt:lpstr>SU_03007</vt:lpstr>
      <vt:lpstr>SU_03007_m</vt:lpstr>
      <vt:lpstr>SU_03007_p</vt:lpstr>
      <vt:lpstr>SU_03007_q</vt:lpstr>
      <vt:lpstr>SU_03008</vt:lpstr>
      <vt:lpstr>SU_03008_m</vt:lpstr>
      <vt:lpstr>SU_03008_p</vt:lpstr>
      <vt:lpstr>SU_03008_q</vt:lpstr>
      <vt:lpstr>SU_03009</vt:lpstr>
      <vt:lpstr>SU_03009_m</vt:lpstr>
      <vt:lpstr>SU_03009_p</vt:lpstr>
      <vt:lpstr>SU_03009_q</vt:lpstr>
      <vt:lpstr>SU_03010</vt:lpstr>
      <vt:lpstr>SU_03010_m</vt:lpstr>
      <vt:lpstr>SU_03010_p</vt:lpstr>
      <vt:lpstr>SU_03010_q</vt:lpstr>
      <vt:lpstr>SU_03011</vt:lpstr>
      <vt:lpstr>SU_03011_m</vt:lpstr>
      <vt:lpstr>SU_03011_p</vt:lpstr>
      <vt:lpstr>SU_03011_q</vt:lpstr>
      <vt:lpstr>SU_04001</vt:lpstr>
      <vt:lpstr>SU_04001_m</vt:lpstr>
      <vt:lpstr>SU_04001_p</vt:lpstr>
      <vt:lpstr>SU_04001_q</vt:lpstr>
      <vt:lpstr>SU_04002</vt:lpstr>
      <vt:lpstr>SU_04002_m</vt:lpstr>
      <vt:lpstr>SU_04002_p</vt:lpstr>
      <vt:lpstr>SU_04002_q</vt:lpstr>
      <vt:lpstr>SU_04003</vt:lpstr>
      <vt:lpstr>SU_04003_m</vt:lpstr>
      <vt:lpstr>SU_04003_p</vt:lpstr>
      <vt:lpstr>SU_04003_q</vt:lpstr>
      <vt:lpstr>SU_04004</vt:lpstr>
      <vt:lpstr>SU_04004_m</vt:lpstr>
      <vt:lpstr>SU_04004_p</vt:lpstr>
      <vt:lpstr>SU_04004_q</vt:lpstr>
      <vt:lpstr>SU_04005</vt:lpstr>
      <vt:lpstr>SU_04005_m</vt:lpstr>
      <vt:lpstr>SU_04005_p</vt:lpstr>
      <vt:lpstr>SU_04005_q</vt:lpstr>
      <vt:lpstr>SU_04006</vt:lpstr>
      <vt:lpstr>SU_04006_m</vt:lpstr>
      <vt:lpstr>SU_04006_p</vt:lpstr>
      <vt:lpstr>SU_04006_q</vt:lpstr>
      <vt:lpstr>SU_04007</vt:lpstr>
      <vt:lpstr>SU_04007_m</vt:lpstr>
      <vt:lpstr>SU_04007_p</vt:lpstr>
      <vt:lpstr>SU_04007_q</vt:lpstr>
      <vt:lpstr>SU_04008</vt:lpstr>
      <vt:lpstr>SU_04008_m</vt:lpstr>
      <vt:lpstr>SU_04008_p</vt:lpstr>
      <vt:lpstr>SU_04008_q</vt:lpstr>
      <vt:lpstr>SU_04009</vt:lpstr>
      <vt:lpstr>SU_04009_m</vt:lpstr>
      <vt:lpstr>SU_04009_p</vt:lpstr>
      <vt:lpstr>SU_04009_q</vt:lpstr>
      <vt:lpstr>SU_04010</vt:lpstr>
      <vt:lpstr>SU_04010_m</vt:lpstr>
      <vt:lpstr>SU_04010_p</vt:lpstr>
      <vt:lpstr>SU_04010_q</vt:lpstr>
      <vt:lpstr>SU_04011</vt:lpstr>
      <vt:lpstr>SU_04011_m</vt:lpstr>
      <vt:lpstr>SU_04011_p</vt:lpstr>
      <vt:lpstr>SU_04011_q</vt:lpstr>
      <vt:lpstr>SU_05001</vt:lpstr>
      <vt:lpstr>SU_05001_m</vt:lpstr>
      <vt:lpstr>SU_05001_p</vt:lpstr>
      <vt:lpstr>SU_05001_q</vt:lpstr>
      <vt:lpstr>SU_06001</vt:lpstr>
      <vt:lpstr>SU_06001_m</vt:lpstr>
      <vt:lpstr>SU_06001_p</vt:lpstr>
      <vt:lpstr>SU_06001_q</vt:lpstr>
      <vt:lpstr>SU_06002</vt:lpstr>
      <vt:lpstr>SU_06002_m</vt:lpstr>
      <vt:lpstr>SU_06002_p</vt:lpstr>
      <vt:lpstr>SU_06002_q</vt:lpstr>
      <vt:lpstr>SU_06003</vt:lpstr>
      <vt:lpstr>SU_06003_m</vt:lpstr>
      <vt:lpstr>SU_06003_p</vt:lpstr>
      <vt:lpstr>SU_06003_q</vt:lpstr>
      <vt:lpstr>SU_06004</vt:lpstr>
      <vt:lpstr>SU_06004_m</vt:lpstr>
      <vt:lpstr>SU_06004_p</vt:lpstr>
      <vt:lpstr>SU_06004_q</vt:lpstr>
      <vt:lpstr>SU_07001</vt:lpstr>
      <vt:lpstr>SU_07001_m</vt:lpstr>
      <vt:lpstr>SU_07001_p</vt:lpstr>
      <vt:lpstr>SU_07001_q</vt:lpstr>
      <vt:lpstr>SU_08001</vt:lpstr>
      <vt:lpstr>SU_08001_m</vt:lpstr>
      <vt:lpstr>SU_08001_p</vt:lpstr>
      <vt:lpstr>SU_08001_q</vt:lpstr>
      <vt:lpstr>SU_08002</vt:lpstr>
      <vt:lpstr>SU_08002_m</vt:lpstr>
      <vt:lpstr>SU_08002_p</vt:lpstr>
      <vt:lpstr>SU_08002_q</vt:lpstr>
      <vt:lpstr>SU_08003</vt:lpstr>
      <vt:lpstr>SU_08003_m</vt:lpstr>
      <vt:lpstr>SU_08003_p</vt:lpstr>
      <vt:lpstr>SU_08003_q</vt:lpstr>
      <vt:lpstr>SU_09001</vt:lpstr>
      <vt:lpstr>SU_09001_m</vt:lpstr>
      <vt:lpstr>SU_09001_p</vt:lpstr>
      <vt:lpstr>SU_09001_q</vt:lpstr>
      <vt:lpstr>SU_09002</vt:lpstr>
      <vt:lpstr>SU_09002_m</vt:lpstr>
      <vt:lpstr>SU_09002_p</vt:lpstr>
      <vt:lpstr>SU_09002_q</vt:lpstr>
      <vt:lpstr>SU_09003</vt:lpstr>
      <vt:lpstr>SU_09003_m</vt:lpstr>
      <vt:lpstr>SU_09003_p</vt:lpstr>
      <vt:lpstr>SU_09003_q</vt:lpstr>
      <vt:lpstr>SU_09004</vt:lpstr>
      <vt:lpstr>SU_09004_m</vt:lpstr>
      <vt:lpstr>SU_09004_p</vt:lpstr>
      <vt:lpstr>SU_09004_q</vt:lpstr>
      <vt:lpstr>SU_10001</vt:lpstr>
      <vt:lpstr>SU_10001_m</vt:lpstr>
      <vt:lpstr>SU_10001_p</vt:lpstr>
      <vt:lpstr>SU_10001_q</vt:lpstr>
      <vt:lpstr>SU_10002</vt:lpstr>
      <vt:lpstr>SU_10002_m</vt:lpstr>
      <vt:lpstr>SU_10002_p</vt:lpstr>
      <vt:lpstr>SU_10002_q</vt:lpstr>
      <vt:lpstr>SU_10003</vt:lpstr>
      <vt:lpstr>SU_10003_m</vt:lpstr>
      <vt:lpstr>SU_10003_p</vt:lpstr>
      <vt:lpstr>SU_10003_q</vt:lpstr>
      <vt:lpstr>SU_10004</vt:lpstr>
      <vt:lpstr>SU_10004_m</vt:lpstr>
      <vt:lpstr>SU_10004_p</vt:lpstr>
      <vt:lpstr>SU_10004_q</vt:lpstr>
      <vt:lpstr>SU_10005</vt:lpstr>
      <vt:lpstr>SU_10005_m</vt:lpstr>
      <vt:lpstr>SU_10005_p</vt:lpstr>
      <vt:lpstr>SU_10005_q</vt:lpstr>
      <vt:lpstr>SU_A0100</vt:lpstr>
      <vt:lpstr>SU_A0100_BOM</vt:lpstr>
      <vt:lpstr>SU_A0100_f</vt:lpstr>
      <vt:lpstr>SU_A0100_m</vt:lpstr>
      <vt:lpstr>SU_A0100_p</vt:lpstr>
      <vt:lpstr>SU_A0100_pa</vt:lpstr>
      <vt:lpstr>SU_A0100_q</vt:lpstr>
      <vt:lpstr>SU_A0100_t</vt:lpstr>
      <vt:lpstr>SU_A0200</vt:lpstr>
      <vt:lpstr>SU_A0200_BOM</vt:lpstr>
      <vt:lpstr>SU_A0200_f</vt:lpstr>
      <vt:lpstr>SU_A0200_m</vt:lpstr>
      <vt:lpstr>SU_A0200_p</vt:lpstr>
      <vt:lpstr>SU_A0200_pa</vt:lpstr>
      <vt:lpstr>SU_A0200_q</vt:lpstr>
      <vt:lpstr>SU_A0200_t</vt:lpstr>
      <vt:lpstr>SU_A0300</vt:lpstr>
      <vt:lpstr>SU_A0300_BOM</vt:lpstr>
      <vt:lpstr>SU_A0300_f</vt:lpstr>
      <vt:lpstr>SU_A0300_m</vt:lpstr>
      <vt:lpstr>SU_A0300_p</vt:lpstr>
      <vt:lpstr>SU_A0300_pa</vt:lpstr>
      <vt:lpstr>SU_A0300_q</vt:lpstr>
      <vt:lpstr>SU_A0300_t</vt:lpstr>
      <vt:lpstr>SU_A0400</vt:lpstr>
      <vt:lpstr>SU_A0400_BOM</vt:lpstr>
      <vt:lpstr>SU_A0400_f</vt:lpstr>
      <vt:lpstr>SU_A0400_m</vt:lpstr>
      <vt:lpstr>SU_A0400_p</vt:lpstr>
      <vt:lpstr>SU_A0400_pa</vt:lpstr>
      <vt:lpstr>SU_A0400_q</vt:lpstr>
      <vt:lpstr>SU_A0400_t</vt:lpstr>
      <vt:lpstr>SU_A0500</vt:lpstr>
      <vt:lpstr>SU_A0500_BOM</vt:lpstr>
      <vt:lpstr>SU_A0500_f</vt:lpstr>
      <vt:lpstr>SU_A0500_m</vt:lpstr>
      <vt:lpstr>SU_A0500_p</vt:lpstr>
      <vt:lpstr>SU_A0500_pa</vt:lpstr>
      <vt:lpstr>SU_A0500_q</vt:lpstr>
      <vt:lpstr>SU_A0500_t</vt:lpstr>
      <vt:lpstr>SU_A0600</vt:lpstr>
      <vt:lpstr>SU_A0600_BOM</vt:lpstr>
      <vt:lpstr>SU_A0600_f</vt:lpstr>
      <vt:lpstr>SU_A0600_m</vt:lpstr>
      <vt:lpstr>SU_A0600_p</vt:lpstr>
      <vt:lpstr>SU_A0600_pa</vt:lpstr>
      <vt:lpstr>SU_A0600_q</vt:lpstr>
      <vt:lpstr>SU_A0600_t</vt:lpstr>
      <vt:lpstr>SU_A0700</vt:lpstr>
      <vt:lpstr>SU_A0700_BOM</vt:lpstr>
      <vt:lpstr>SU_A0700_f</vt:lpstr>
      <vt:lpstr>SU_A0700_m</vt:lpstr>
      <vt:lpstr>SU_A0700_p</vt:lpstr>
      <vt:lpstr>SU_A0700_pa</vt:lpstr>
      <vt:lpstr>SU_A0700_q</vt:lpstr>
      <vt:lpstr>SU_A0700_t</vt:lpstr>
      <vt:lpstr>SU_A0800</vt:lpstr>
      <vt:lpstr>SU_A0800_BOM</vt:lpstr>
      <vt:lpstr>SU_A0800_f</vt:lpstr>
      <vt:lpstr>SU_A0800_m</vt:lpstr>
      <vt:lpstr>SU_A0800_p</vt:lpstr>
      <vt:lpstr>SU_A0800_pa</vt:lpstr>
      <vt:lpstr>SU_A0800_q</vt:lpstr>
      <vt:lpstr>SU_A0800_t</vt:lpstr>
      <vt:lpstr>SU_A0900</vt:lpstr>
      <vt:lpstr>SU_A0900_BOM</vt:lpstr>
      <vt:lpstr>SU_A0900_f</vt:lpstr>
      <vt:lpstr>SU_A0900_m</vt:lpstr>
      <vt:lpstr>SU_A0900_p</vt:lpstr>
      <vt:lpstr>SU_A0900_pa</vt:lpstr>
      <vt:lpstr>SU_A0900_q</vt:lpstr>
      <vt:lpstr>SU_A1000</vt:lpstr>
      <vt:lpstr>SU_A1000_BOM</vt:lpstr>
      <vt:lpstr>SU_A1000_f</vt:lpstr>
      <vt:lpstr>SU_A1000_p</vt:lpstr>
      <vt:lpstr>SU_A1000_pa</vt:lpstr>
      <vt:lpstr>SU_A1000_q</vt:lpstr>
      <vt:lpstr>'SU 01002'!Zone_d_impression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Raphaël M</dc:creator>
  <cp:lastModifiedBy>Aurélien</cp:lastModifiedBy>
  <cp:revision>0</cp:revision>
  <cp:lastPrinted>2018-05-03T23:52:16Z</cp:lastPrinted>
  <dcterms:created xsi:type="dcterms:W3CDTF">2015-05-29T18:57:13Z</dcterms:created>
  <dcterms:modified xsi:type="dcterms:W3CDTF">2018-05-04T11:01:28Z</dcterms:modified>
  <dc:language>fr-FR</dc:language>
</cp:coreProperties>
</file>